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omments4.xml" ContentType="application/vnd.openxmlformats-officedocument.spreadsheetml.comment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drawings/drawing12.xml" ContentType="application/vnd.openxmlformats-officedocument.drawing+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drawings/drawing14.xml" ContentType="application/vnd.openxmlformats-officedocument.drawing+xml"/>
  <Override PartName="/xl/comments5.xml" ContentType="application/vnd.openxmlformats-officedocument.spreadsheetml.comments+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195" windowHeight="8130" activeTab="1"/>
  </bookViews>
  <sheets>
    <sheet name="(1) TDP-f'crec-CUMPL" sheetId="1" r:id="rId1"/>
    <sheet name="Treatments" sheetId="18" r:id="rId2"/>
    <sheet name="2) TDP-f'const-CUMPL" sheetId="10" r:id="rId3"/>
    <sheet name="3) TDP-f'crec-VIOL" sheetId="2" r:id="rId4"/>
    <sheet name="4) TDP-f'const-VIOL" sheetId="12" r:id="rId5"/>
    <sheet name="Cálculos multa esperada margina" sheetId="3" r:id="rId6"/>
    <sheet name="STD-f'creciente-VIOL" sheetId="5" r:id="rId7"/>
    <sheet name="5) STD-f'creciente-CUMPL" sheetId="8" r:id="rId8"/>
    <sheet name="6) STD-f'const-CUMPL" sheetId="9" r:id="rId9"/>
    <sheet name="7) STD-f'creciente-VIOL" sheetId="14" r:id="rId10"/>
    <sheet name="8) STD-f'const-VIOL" sheetId="15" r:id="rId11"/>
    <sheet name="9) " sheetId="7" r:id="rId12"/>
    <sheet name="10)" sheetId="17" r:id="rId13"/>
    <sheet name="TDP-f'crec-CUMPL (2)" sheetId="13" r:id="rId14"/>
    <sheet name="Hoja1" sheetId="16" r:id="rId15"/>
  </sheets>
  <calcPr calcId="144525"/>
</workbook>
</file>

<file path=xl/calcChain.xml><?xml version="1.0" encoding="utf-8"?>
<calcChain xmlns="http://schemas.openxmlformats.org/spreadsheetml/2006/main">
  <c r="AC55" i="2" l="1"/>
  <c r="S50" i="2"/>
  <c r="C68" i="18" l="1"/>
  <c r="C67" i="18"/>
  <c r="C66" i="18"/>
  <c r="C65" i="18"/>
  <c r="C64" i="18"/>
  <c r="C63" i="18"/>
  <c r="C62" i="18"/>
  <c r="G58" i="18" s="1"/>
  <c r="C61" i="18"/>
  <c r="C60" i="18"/>
  <c r="C59" i="18"/>
  <c r="G61" i="18" s="1"/>
  <c r="B67" i="18"/>
  <c r="B66" i="18"/>
  <c r="B65" i="18"/>
  <c r="B64" i="18"/>
  <c r="B63" i="18"/>
  <c r="F59" i="18" s="1"/>
  <c r="B62" i="18"/>
  <c r="F58" i="18" s="1"/>
  <c r="B61" i="18"/>
  <c r="B60" i="18"/>
  <c r="B59" i="18"/>
  <c r="B58" i="18"/>
  <c r="F61" i="18"/>
  <c r="G60" i="18"/>
  <c r="F60" i="18"/>
  <c r="G59" i="18"/>
  <c r="H76" i="1"/>
  <c r="H75" i="1"/>
  <c r="H74" i="1"/>
  <c r="H73" i="1"/>
  <c r="H72" i="1"/>
  <c r="H71" i="1"/>
  <c r="H70" i="1"/>
  <c r="L66" i="1" s="1"/>
  <c r="H69" i="1"/>
  <c r="L67" i="1" s="1"/>
  <c r="H68" i="1"/>
  <c r="H67" i="1"/>
  <c r="L69" i="1"/>
  <c r="L68" i="1"/>
  <c r="K69" i="1"/>
  <c r="K68" i="1"/>
  <c r="K67" i="1"/>
  <c r="K66" i="1"/>
  <c r="G75" i="1"/>
  <c r="G74" i="1"/>
  <c r="G73" i="1"/>
  <c r="G72" i="1"/>
  <c r="G71" i="1"/>
  <c r="G70" i="1"/>
  <c r="G69" i="1"/>
  <c r="G68" i="1"/>
  <c r="G67" i="1"/>
  <c r="G66" i="1"/>
  <c r="E86" i="1"/>
  <c r="D86" i="1"/>
  <c r="C86" i="1"/>
  <c r="B86" i="1"/>
  <c r="E85" i="1"/>
  <c r="D85" i="1"/>
  <c r="C85" i="1"/>
  <c r="B85" i="1"/>
  <c r="E84" i="1"/>
  <c r="D84" i="1"/>
  <c r="C84" i="1"/>
  <c r="B84" i="1"/>
  <c r="E83" i="1"/>
  <c r="D83" i="1"/>
  <c r="C83" i="1"/>
  <c r="B83" i="1"/>
  <c r="E82" i="1"/>
  <c r="D82" i="1"/>
  <c r="C82" i="1"/>
  <c r="B82" i="1"/>
  <c r="E81" i="1"/>
  <c r="D81" i="1"/>
  <c r="C81" i="1"/>
  <c r="B81" i="1"/>
  <c r="E80" i="1"/>
  <c r="D80" i="1"/>
  <c r="C80" i="1"/>
  <c r="B80" i="1"/>
  <c r="E79" i="1"/>
  <c r="D79" i="1"/>
  <c r="C79" i="1"/>
  <c r="B79" i="1"/>
  <c r="E78" i="1"/>
  <c r="D78" i="1"/>
  <c r="C78" i="1"/>
  <c r="B78" i="1"/>
  <c r="E77" i="1"/>
  <c r="D77" i="1"/>
  <c r="C77" i="1"/>
  <c r="B77" i="1"/>
  <c r="E76" i="1"/>
  <c r="D76" i="1"/>
  <c r="C76" i="1"/>
  <c r="B76" i="1"/>
  <c r="E75" i="1"/>
  <c r="D75" i="1"/>
  <c r="C75" i="1"/>
  <c r="B75" i="1"/>
  <c r="E74" i="1"/>
  <c r="D74" i="1"/>
  <c r="C74" i="1"/>
  <c r="B74" i="1"/>
  <c r="E73" i="1"/>
  <c r="D73" i="1"/>
  <c r="C73" i="1"/>
  <c r="B73" i="1"/>
  <c r="E72" i="1"/>
  <c r="D72" i="1"/>
  <c r="C72" i="1"/>
  <c r="B72" i="1"/>
  <c r="E71" i="1"/>
  <c r="D71" i="1"/>
  <c r="C71" i="1"/>
  <c r="B71" i="1"/>
  <c r="E70" i="1"/>
  <c r="D70" i="1"/>
  <c r="C70" i="1"/>
  <c r="B70" i="1"/>
  <c r="E69" i="1"/>
  <c r="D69" i="1"/>
  <c r="C69" i="1"/>
  <c r="B69" i="1"/>
  <c r="E68" i="1"/>
  <c r="D68" i="1"/>
  <c r="C68" i="1"/>
  <c r="B68" i="1"/>
  <c r="E67" i="1"/>
  <c r="D67" i="1"/>
  <c r="C67" i="1"/>
  <c r="B67" i="1"/>
  <c r="E66" i="1"/>
  <c r="D66" i="1"/>
  <c r="C66" i="1"/>
  <c r="B66" i="1"/>
  <c r="T47" i="18" l="1"/>
  <c r="S47" i="18"/>
  <c r="R47" i="18"/>
  <c r="Q47" i="18"/>
  <c r="P47" i="18"/>
  <c r="O47" i="18"/>
  <c r="N47" i="18"/>
  <c r="M47" i="18"/>
  <c r="K47" i="18"/>
  <c r="H47" i="18"/>
  <c r="G47" i="18"/>
  <c r="S45" i="18"/>
  <c r="R45" i="18"/>
  <c r="Q45" i="18"/>
  <c r="P45" i="18"/>
  <c r="O45" i="18"/>
  <c r="N45" i="18"/>
  <c r="L45" i="18"/>
  <c r="K45" i="18"/>
  <c r="J45" i="18"/>
  <c r="I45" i="18"/>
  <c r="G45" i="18"/>
  <c r="R43" i="18"/>
  <c r="Q43" i="18"/>
  <c r="P43" i="18"/>
  <c r="O43" i="18"/>
  <c r="M43" i="18"/>
  <c r="L43" i="18"/>
  <c r="K43" i="18"/>
  <c r="J43" i="18"/>
  <c r="I43" i="18"/>
  <c r="H43" i="18"/>
  <c r="G43" i="18"/>
  <c r="R41" i="18"/>
  <c r="Q41" i="18"/>
  <c r="P41" i="18"/>
  <c r="O41" i="18"/>
  <c r="M41" i="18"/>
  <c r="L41" i="18"/>
  <c r="K41" i="18"/>
  <c r="J41" i="18"/>
  <c r="I41" i="18"/>
  <c r="G41" i="18"/>
  <c r="T39" i="18"/>
  <c r="R39" i="18"/>
  <c r="Q39" i="18"/>
  <c r="P39" i="18"/>
  <c r="O39" i="18"/>
  <c r="N39" i="18"/>
  <c r="M39" i="18"/>
  <c r="L39" i="18"/>
  <c r="H39" i="18"/>
  <c r="G39" i="18"/>
  <c r="S37" i="18"/>
  <c r="L37" i="18"/>
  <c r="K37" i="18"/>
  <c r="J37" i="18"/>
  <c r="I37" i="18"/>
  <c r="S35" i="18"/>
  <c r="R35" i="18"/>
  <c r="Q35" i="18"/>
  <c r="P35" i="18"/>
  <c r="O35" i="18"/>
  <c r="M35" i="18"/>
  <c r="L35" i="18"/>
  <c r="K35" i="18"/>
  <c r="J35" i="18"/>
  <c r="I35" i="18"/>
  <c r="H35" i="18"/>
  <c r="G35" i="18"/>
  <c r="N33" i="18"/>
  <c r="L33" i="18"/>
  <c r="K33" i="18"/>
  <c r="J33" i="18"/>
  <c r="I33" i="18"/>
  <c r="L31" i="18"/>
  <c r="L47" i="18" s="1"/>
  <c r="J31" i="18"/>
  <c r="J47" i="18" s="1"/>
  <c r="I31" i="18"/>
  <c r="I47" i="18" s="1"/>
  <c r="T28" i="18"/>
  <c r="S27" i="18"/>
  <c r="L27" i="18"/>
  <c r="K27" i="18"/>
  <c r="J27" i="18"/>
  <c r="I27" i="18"/>
  <c r="R25" i="18"/>
  <c r="Q25" i="18"/>
  <c r="P25" i="18"/>
  <c r="O25" i="18"/>
  <c r="N25" i="18"/>
  <c r="M25" i="18"/>
  <c r="L25" i="18"/>
  <c r="K25" i="18"/>
  <c r="J25" i="18"/>
  <c r="H25" i="18"/>
  <c r="G25" i="18"/>
  <c r="S23" i="18"/>
  <c r="L23" i="18"/>
  <c r="K23" i="18"/>
  <c r="J23" i="18"/>
  <c r="I23" i="18"/>
  <c r="S21" i="18"/>
  <c r="S39" i="18" s="1"/>
  <c r="K21" i="18"/>
  <c r="K39" i="18" s="1"/>
  <c r="J21" i="18"/>
  <c r="J39" i="18" s="1"/>
  <c r="I21" i="18"/>
  <c r="I25" i="18" s="1"/>
  <c r="S19" i="18"/>
  <c r="L19" i="18"/>
  <c r="K19" i="18"/>
  <c r="J19" i="18"/>
  <c r="I19" i="18"/>
  <c r="N17" i="18"/>
  <c r="N35" i="18" s="1"/>
  <c r="N15" i="18"/>
  <c r="L15" i="18"/>
  <c r="K15" i="18"/>
  <c r="I15" i="18"/>
  <c r="J15" i="18" s="1"/>
  <c r="S13" i="18"/>
  <c r="N13" i="18"/>
  <c r="S9" i="18"/>
  <c r="S43" i="18" s="1"/>
  <c r="N9" i="18"/>
  <c r="N43" i="18" s="1"/>
  <c r="S7" i="18"/>
  <c r="S41" i="18" s="1"/>
  <c r="N7" i="18"/>
  <c r="N41" i="18" s="1"/>
  <c r="P6" i="1"/>
  <c r="P7" i="1" s="1"/>
  <c r="P8" i="1" s="1"/>
  <c r="P9" i="1" s="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S25" i="18" l="1"/>
  <c r="I39" i="18"/>
  <c r="D2" i="17" l="1"/>
  <c r="D4" i="17"/>
  <c r="C5" i="17"/>
  <c r="D5" i="17" s="1"/>
  <c r="E2" i="17"/>
  <c r="P4" i="15"/>
  <c r="N4" i="15"/>
  <c r="N111" i="15"/>
  <c r="L111" i="15"/>
  <c r="C111" i="15"/>
  <c r="N110" i="15"/>
  <c r="E108" i="15" s="1"/>
  <c r="L110" i="15"/>
  <c r="C110" i="15"/>
  <c r="N109" i="15"/>
  <c r="E107" i="15" s="1"/>
  <c r="L109" i="15"/>
  <c r="E109" i="15"/>
  <c r="C109" i="15"/>
  <c r="N108" i="15"/>
  <c r="E106" i="15" s="1"/>
  <c r="L108" i="15"/>
  <c r="C108" i="15"/>
  <c r="N107" i="15"/>
  <c r="E105" i="15" s="1"/>
  <c r="L107" i="15"/>
  <c r="C107" i="15"/>
  <c r="N106" i="15"/>
  <c r="E104" i="15" s="1"/>
  <c r="L106" i="15"/>
  <c r="C106" i="15"/>
  <c r="N105" i="15"/>
  <c r="E103" i="15" s="1"/>
  <c r="L105" i="15"/>
  <c r="C105" i="15"/>
  <c r="N104" i="15"/>
  <c r="L104" i="15"/>
  <c r="C104" i="15"/>
  <c r="N103" i="15"/>
  <c r="E101" i="15" s="1"/>
  <c r="L103" i="15"/>
  <c r="C103" i="15"/>
  <c r="O102" i="15"/>
  <c r="F100" i="15" s="1"/>
  <c r="N102" i="15"/>
  <c r="E100" i="15" s="1"/>
  <c r="M102" i="15"/>
  <c r="L102" i="15"/>
  <c r="E102" i="15"/>
  <c r="D102" i="15"/>
  <c r="C102" i="15"/>
  <c r="O101" i="15"/>
  <c r="N101" i="15"/>
  <c r="E99" i="15" s="1"/>
  <c r="M101" i="15"/>
  <c r="L101" i="15"/>
  <c r="D101" i="15"/>
  <c r="C101" i="15"/>
  <c r="D100" i="15"/>
  <c r="C100" i="15"/>
  <c r="F99" i="15"/>
  <c r="D99" i="15"/>
  <c r="C99" i="15"/>
  <c r="D98" i="15"/>
  <c r="C98" i="15"/>
  <c r="D97" i="15"/>
  <c r="C97" i="15"/>
  <c r="D96" i="15"/>
  <c r="C96" i="15"/>
  <c r="D95" i="15"/>
  <c r="C95" i="15"/>
  <c r="N83" i="15"/>
  <c r="L83" i="15"/>
  <c r="C83" i="15"/>
  <c r="N82" i="15"/>
  <c r="E80" i="15" s="1"/>
  <c r="L82" i="15"/>
  <c r="C82" i="15"/>
  <c r="N81" i="15"/>
  <c r="E79" i="15" s="1"/>
  <c r="L81" i="15"/>
  <c r="E81" i="15"/>
  <c r="C81" i="15"/>
  <c r="N80" i="15"/>
  <c r="E78" i="15" s="1"/>
  <c r="L80" i="15"/>
  <c r="C80" i="15"/>
  <c r="N79" i="15"/>
  <c r="E77" i="15" s="1"/>
  <c r="L79" i="15"/>
  <c r="C79" i="15"/>
  <c r="N78" i="15"/>
  <c r="E76" i="15" s="1"/>
  <c r="L78" i="15"/>
  <c r="C78" i="15"/>
  <c r="N77" i="15"/>
  <c r="E75" i="15" s="1"/>
  <c r="L77" i="15"/>
  <c r="C77" i="15"/>
  <c r="N76" i="15"/>
  <c r="L76" i="15"/>
  <c r="C76" i="15"/>
  <c r="N75" i="15"/>
  <c r="E73" i="15" s="1"/>
  <c r="L75" i="15"/>
  <c r="C75" i="15"/>
  <c r="O74" i="15"/>
  <c r="F72" i="15" s="1"/>
  <c r="N74" i="15"/>
  <c r="E72" i="15" s="1"/>
  <c r="M74" i="15"/>
  <c r="L74" i="15"/>
  <c r="E74" i="15"/>
  <c r="D74" i="15"/>
  <c r="C74" i="15"/>
  <c r="O73" i="15"/>
  <c r="N73" i="15"/>
  <c r="E71" i="15" s="1"/>
  <c r="M73" i="15"/>
  <c r="L73" i="15"/>
  <c r="D73" i="15"/>
  <c r="C73" i="15"/>
  <c r="D72" i="15"/>
  <c r="C72" i="15"/>
  <c r="F71" i="15"/>
  <c r="D71" i="15"/>
  <c r="C71" i="15"/>
  <c r="D70" i="15"/>
  <c r="C70" i="15"/>
  <c r="D69" i="15"/>
  <c r="C69" i="15"/>
  <c r="D68" i="15"/>
  <c r="C68" i="15"/>
  <c r="D67" i="15"/>
  <c r="C67" i="15"/>
  <c r="N55" i="15"/>
  <c r="L55" i="15"/>
  <c r="C55" i="15"/>
  <c r="N54" i="15"/>
  <c r="E52" i="15" s="1"/>
  <c r="L54" i="15"/>
  <c r="C54" i="15"/>
  <c r="N53" i="15"/>
  <c r="E51" i="15" s="1"/>
  <c r="L53" i="15"/>
  <c r="E53" i="15"/>
  <c r="C53" i="15"/>
  <c r="N52" i="15"/>
  <c r="E50" i="15" s="1"/>
  <c r="L52" i="15"/>
  <c r="C52" i="15"/>
  <c r="N51" i="15"/>
  <c r="E49" i="15" s="1"/>
  <c r="L51" i="15"/>
  <c r="C51" i="15"/>
  <c r="N50" i="15"/>
  <c r="E48" i="15" s="1"/>
  <c r="L50" i="15"/>
  <c r="C50" i="15"/>
  <c r="N49" i="15"/>
  <c r="E47" i="15" s="1"/>
  <c r="L49" i="15"/>
  <c r="C49" i="15"/>
  <c r="N48" i="15"/>
  <c r="L48" i="15"/>
  <c r="C48" i="15"/>
  <c r="N47" i="15"/>
  <c r="E45" i="15" s="1"/>
  <c r="L47" i="15"/>
  <c r="C47" i="15"/>
  <c r="O46" i="15"/>
  <c r="F44" i="15" s="1"/>
  <c r="N46" i="15"/>
  <c r="E44" i="15" s="1"/>
  <c r="M46" i="15"/>
  <c r="L46" i="15"/>
  <c r="E46" i="15"/>
  <c r="D46" i="15"/>
  <c r="C46" i="15"/>
  <c r="O45" i="15"/>
  <c r="N45" i="15"/>
  <c r="E43" i="15" s="1"/>
  <c r="M45" i="15"/>
  <c r="L45" i="15"/>
  <c r="D45" i="15"/>
  <c r="C45" i="15"/>
  <c r="O44" i="15"/>
  <c r="N44" i="15"/>
  <c r="M44" i="15"/>
  <c r="L44" i="15"/>
  <c r="D44" i="15"/>
  <c r="C44" i="15"/>
  <c r="O43" i="15"/>
  <c r="N43" i="15"/>
  <c r="M43" i="15"/>
  <c r="L43" i="15"/>
  <c r="F43" i="15"/>
  <c r="D43" i="15"/>
  <c r="C43" i="15"/>
  <c r="O42" i="15"/>
  <c r="N42" i="15"/>
  <c r="M42" i="15"/>
  <c r="L42" i="15"/>
  <c r="F42" i="15"/>
  <c r="E42" i="15"/>
  <c r="D42" i="15"/>
  <c r="C42" i="15"/>
  <c r="N41" i="15"/>
  <c r="L41" i="15"/>
  <c r="F41" i="15"/>
  <c r="E41" i="15"/>
  <c r="D41" i="15"/>
  <c r="C41" i="15"/>
  <c r="F40" i="15"/>
  <c r="E40" i="15"/>
  <c r="D40" i="15"/>
  <c r="C40" i="15"/>
  <c r="E39" i="15"/>
  <c r="D39" i="15"/>
  <c r="C39" i="15"/>
  <c r="C27" i="15"/>
  <c r="N26" i="15"/>
  <c r="C26" i="15"/>
  <c r="C25" i="15"/>
  <c r="N24" i="15"/>
  <c r="E25" i="15" s="1"/>
  <c r="C24" i="15"/>
  <c r="C23" i="15"/>
  <c r="N22" i="15"/>
  <c r="E23" i="15" s="1"/>
  <c r="C22" i="15"/>
  <c r="C21" i="15"/>
  <c r="N20" i="15"/>
  <c r="E21" i="15" s="1"/>
  <c r="C20" i="15"/>
  <c r="C19" i="15"/>
  <c r="N18" i="15"/>
  <c r="E19" i="15" s="1"/>
  <c r="D18" i="15"/>
  <c r="C18" i="15"/>
  <c r="D17" i="15"/>
  <c r="C17" i="15"/>
  <c r="D16" i="15"/>
  <c r="C16" i="15"/>
  <c r="D15" i="15"/>
  <c r="C15" i="15"/>
  <c r="N14" i="15"/>
  <c r="E15" i="15" s="1"/>
  <c r="D14" i="15"/>
  <c r="C14" i="15"/>
  <c r="D13" i="15"/>
  <c r="C13" i="15"/>
  <c r="D12" i="15"/>
  <c r="C12" i="15"/>
  <c r="D11" i="15"/>
  <c r="C11" i="15"/>
  <c r="P3" i="15"/>
  <c r="D2" i="7"/>
  <c r="D9" i="7"/>
  <c r="N27" i="14"/>
  <c r="N26" i="14"/>
  <c r="N25" i="14"/>
  <c r="N24" i="14"/>
  <c r="E25" i="14" s="1"/>
  <c r="N23" i="14"/>
  <c r="E24" i="14" s="1"/>
  <c r="N22" i="14"/>
  <c r="E23" i="14" s="1"/>
  <c r="N21" i="14"/>
  <c r="E22" i="14" s="1"/>
  <c r="N20" i="14"/>
  <c r="E21" i="14" s="1"/>
  <c r="N19" i="14"/>
  <c r="E20" i="14" s="1"/>
  <c r="N18" i="14"/>
  <c r="E19" i="14" s="1"/>
  <c r="N17" i="14"/>
  <c r="E18" i="14" s="1"/>
  <c r="N16" i="14"/>
  <c r="E17" i="14" s="1"/>
  <c r="N15" i="14"/>
  <c r="E16" i="14" s="1"/>
  <c r="N14" i="14"/>
  <c r="F16" i="14" s="1"/>
  <c r="N13" i="14"/>
  <c r="E14" i="14" s="1"/>
  <c r="N12" i="14"/>
  <c r="E13" i="14" s="1"/>
  <c r="E12" i="14"/>
  <c r="C5" i="7"/>
  <c r="C12" i="7" s="1"/>
  <c r="C4" i="7"/>
  <c r="C11" i="7" s="1"/>
  <c r="C3" i="7"/>
  <c r="P3" i="14"/>
  <c r="F13" i="14" s="1"/>
  <c r="F15" i="14"/>
  <c r="F14" i="14"/>
  <c r="N11" i="14"/>
  <c r="N22" i="8"/>
  <c r="E25" i="8" s="1"/>
  <c r="N21" i="8"/>
  <c r="E24" i="8" s="1"/>
  <c r="N18" i="8"/>
  <c r="E21" i="8" s="1"/>
  <c r="N17" i="8"/>
  <c r="E20" i="8" s="1"/>
  <c r="N14" i="8"/>
  <c r="E17" i="8" s="1"/>
  <c r="F18" i="8" s="1"/>
  <c r="N13" i="8"/>
  <c r="E16" i="8" s="1"/>
  <c r="F17" i="8" s="1"/>
  <c r="M11" i="8"/>
  <c r="N11" i="8" s="1"/>
  <c r="E14" i="8" s="1"/>
  <c r="F15" i="8" s="1"/>
  <c r="M12" i="8"/>
  <c r="N12" i="8" s="1"/>
  <c r="E15" i="8" s="1"/>
  <c r="F16" i="8" s="1"/>
  <c r="M13" i="8"/>
  <c r="M14" i="8"/>
  <c r="M15" i="8"/>
  <c r="N15" i="8" s="1"/>
  <c r="E18" i="8" s="1"/>
  <c r="M16" i="8"/>
  <c r="N16" i="8" s="1"/>
  <c r="E19" i="8" s="1"/>
  <c r="M17" i="8"/>
  <c r="M18" i="8"/>
  <c r="M19" i="8"/>
  <c r="N19" i="8" s="1"/>
  <c r="E22" i="8" s="1"/>
  <c r="M20" i="8"/>
  <c r="N20" i="8" s="1"/>
  <c r="E23" i="8" s="1"/>
  <c r="M21" i="8"/>
  <c r="M22" i="8"/>
  <c r="M23" i="8"/>
  <c r="N23" i="8" s="1"/>
  <c r="E26" i="8" s="1"/>
  <c r="M24" i="8"/>
  <c r="N24" i="8" s="1"/>
  <c r="E27" i="8" s="1"/>
  <c r="N111" i="14"/>
  <c r="E109" i="14" s="1"/>
  <c r="L111" i="14"/>
  <c r="C111" i="14"/>
  <c r="N110" i="14"/>
  <c r="E108" i="14" s="1"/>
  <c r="L110" i="14"/>
  <c r="C110" i="14"/>
  <c r="N109" i="14"/>
  <c r="E107" i="14" s="1"/>
  <c r="L109" i="14"/>
  <c r="C109" i="14"/>
  <c r="N108" i="14"/>
  <c r="E106" i="14" s="1"/>
  <c r="L108" i="14"/>
  <c r="C108" i="14"/>
  <c r="N107" i="14"/>
  <c r="E105" i="14" s="1"/>
  <c r="L107" i="14"/>
  <c r="C107" i="14"/>
  <c r="N106" i="14"/>
  <c r="E104" i="14" s="1"/>
  <c r="L106" i="14"/>
  <c r="C106" i="14"/>
  <c r="N105" i="14"/>
  <c r="E103" i="14" s="1"/>
  <c r="L105" i="14"/>
  <c r="C105" i="14"/>
  <c r="N104" i="14"/>
  <c r="E102" i="14" s="1"/>
  <c r="L104" i="14"/>
  <c r="C104" i="14"/>
  <c r="N103" i="14"/>
  <c r="E101" i="14" s="1"/>
  <c r="L103" i="14"/>
  <c r="C103" i="14"/>
  <c r="O102" i="14"/>
  <c r="N102" i="14"/>
  <c r="M102" i="14"/>
  <c r="L102" i="14"/>
  <c r="F100" i="14"/>
  <c r="E100" i="14"/>
  <c r="D102" i="14"/>
  <c r="C102" i="14"/>
  <c r="O101" i="14"/>
  <c r="N101" i="14"/>
  <c r="M101" i="14"/>
  <c r="L101" i="14"/>
  <c r="F99" i="14"/>
  <c r="E99" i="14"/>
  <c r="D101" i="14"/>
  <c r="C101" i="14"/>
  <c r="D100" i="14"/>
  <c r="C100" i="14"/>
  <c r="D99" i="14"/>
  <c r="C99" i="14"/>
  <c r="D98" i="14"/>
  <c r="C98" i="14"/>
  <c r="D97" i="14"/>
  <c r="C97" i="14"/>
  <c r="D96" i="14"/>
  <c r="C96" i="14"/>
  <c r="D95" i="14"/>
  <c r="C95" i="14"/>
  <c r="N83" i="14"/>
  <c r="E81" i="14" s="1"/>
  <c r="L83" i="14"/>
  <c r="C83" i="14"/>
  <c r="N82" i="14"/>
  <c r="E80" i="14" s="1"/>
  <c r="L82" i="14"/>
  <c r="C82" i="14"/>
  <c r="N81" i="14"/>
  <c r="E79" i="14" s="1"/>
  <c r="L81" i="14"/>
  <c r="C81" i="14"/>
  <c r="N80" i="14"/>
  <c r="E78" i="14" s="1"/>
  <c r="L80" i="14"/>
  <c r="C80" i="14"/>
  <c r="N79" i="14"/>
  <c r="E77" i="14" s="1"/>
  <c r="L79" i="14"/>
  <c r="C79" i="14"/>
  <c r="N78" i="14"/>
  <c r="E76" i="14" s="1"/>
  <c r="L78" i="14"/>
  <c r="C78" i="14"/>
  <c r="N77" i="14"/>
  <c r="E75" i="14" s="1"/>
  <c r="L77" i="14"/>
  <c r="C77" i="14"/>
  <c r="N76" i="14"/>
  <c r="E74" i="14" s="1"/>
  <c r="L76" i="14"/>
  <c r="C76" i="14"/>
  <c r="N75" i="14"/>
  <c r="E73" i="14" s="1"/>
  <c r="L75" i="14"/>
  <c r="C75" i="14"/>
  <c r="O74" i="14"/>
  <c r="N74" i="14"/>
  <c r="M74" i="14"/>
  <c r="L74" i="14"/>
  <c r="F72" i="14"/>
  <c r="E72" i="14"/>
  <c r="D74" i="14"/>
  <c r="C74" i="14"/>
  <c r="O73" i="14"/>
  <c r="N73" i="14"/>
  <c r="M73" i="14"/>
  <c r="L73" i="14"/>
  <c r="F71" i="14"/>
  <c r="E71" i="14"/>
  <c r="D73" i="14"/>
  <c r="C73" i="14"/>
  <c r="D72" i="14"/>
  <c r="C72" i="14"/>
  <c r="D71" i="14"/>
  <c r="C71" i="14"/>
  <c r="D70" i="14"/>
  <c r="C70" i="14"/>
  <c r="D69" i="14"/>
  <c r="C69" i="14"/>
  <c r="D68" i="14"/>
  <c r="C68" i="14"/>
  <c r="D67" i="14"/>
  <c r="C67" i="14"/>
  <c r="N55" i="14"/>
  <c r="E53" i="14" s="1"/>
  <c r="L55" i="14"/>
  <c r="C55" i="14"/>
  <c r="N54" i="14"/>
  <c r="E52" i="14" s="1"/>
  <c r="L54" i="14"/>
  <c r="C54" i="14"/>
  <c r="N53" i="14"/>
  <c r="E51" i="14" s="1"/>
  <c r="L53" i="14"/>
  <c r="C53" i="14"/>
  <c r="N52" i="14"/>
  <c r="E50" i="14" s="1"/>
  <c r="L52" i="14"/>
  <c r="C52" i="14"/>
  <c r="N51" i="14"/>
  <c r="E49" i="14" s="1"/>
  <c r="L51" i="14"/>
  <c r="C51" i="14"/>
  <c r="N50" i="14"/>
  <c r="E48" i="14" s="1"/>
  <c r="L50" i="14"/>
  <c r="C50" i="14"/>
  <c r="N49" i="14"/>
  <c r="E47" i="14" s="1"/>
  <c r="L49" i="14"/>
  <c r="C49" i="14"/>
  <c r="N48" i="14"/>
  <c r="E46" i="14" s="1"/>
  <c r="L48" i="14"/>
  <c r="C48" i="14"/>
  <c r="N47" i="14"/>
  <c r="E45" i="14" s="1"/>
  <c r="L47" i="14"/>
  <c r="C47" i="14"/>
  <c r="O46" i="14"/>
  <c r="N46" i="14"/>
  <c r="M46" i="14"/>
  <c r="L46" i="14"/>
  <c r="F44" i="14"/>
  <c r="E44" i="14"/>
  <c r="D46" i="14"/>
  <c r="C46" i="14"/>
  <c r="O45" i="14"/>
  <c r="N45" i="14"/>
  <c r="M45" i="14"/>
  <c r="L45" i="14"/>
  <c r="F43" i="14"/>
  <c r="E43" i="14"/>
  <c r="D45" i="14"/>
  <c r="C45" i="14"/>
  <c r="O44" i="14"/>
  <c r="N44" i="14"/>
  <c r="M44" i="14"/>
  <c r="L44" i="14"/>
  <c r="F42" i="14"/>
  <c r="E42" i="14"/>
  <c r="D44" i="14"/>
  <c r="C44" i="14"/>
  <c r="O43" i="14"/>
  <c r="N43" i="14"/>
  <c r="M43" i="14"/>
  <c r="L43" i="14"/>
  <c r="F41" i="14"/>
  <c r="E41" i="14"/>
  <c r="D43" i="14"/>
  <c r="C43" i="14"/>
  <c r="O42" i="14"/>
  <c r="N42" i="14"/>
  <c r="M42" i="14"/>
  <c r="L42" i="14"/>
  <c r="F40" i="14"/>
  <c r="E40" i="14"/>
  <c r="D42" i="14"/>
  <c r="C42" i="14"/>
  <c r="N41" i="14"/>
  <c r="E39" i="14" s="1"/>
  <c r="L41" i="14"/>
  <c r="D41" i="14"/>
  <c r="C41" i="14"/>
  <c r="D40" i="14"/>
  <c r="C40" i="14"/>
  <c r="D39" i="14"/>
  <c r="C39" i="14"/>
  <c r="C27" i="14"/>
  <c r="C26" i="14"/>
  <c r="C25" i="14"/>
  <c r="C24" i="14"/>
  <c r="C23" i="14"/>
  <c r="C22" i="14"/>
  <c r="C21" i="14"/>
  <c r="C20" i="14"/>
  <c r="C19" i="14"/>
  <c r="D18" i="14"/>
  <c r="C18" i="14"/>
  <c r="D17" i="14"/>
  <c r="C17" i="14"/>
  <c r="D16" i="14"/>
  <c r="C16" i="14"/>
  <c r="D15" i="14"/>
  <c r="C15" i="14"/>
  <c r="D14" i="14"/>
  <c r="C14" i="14"/>
  <c r="D13" i="14"/>
  <c r="C13" i="14"/>
  <c r="D12" i="14"/>
  <c r="C12" i="14"/>
  <c r="D11" i="14"/>
  <c r="C11" i="14"/>
  <c r="E2" i="7"/>
  <c r="E9" i="7"/>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N58" i="13"/>
  <c r="I58" i="13"/>
  <c r="A58" i="13"/>
  <c r="N57" i="13"/>
  <c r="I57" i="13"/>
  <c r="A57" i="13"/>
  <c r="N56" i="13"/>
  <c r="I56" i="13"/>
  <c r="A56" i="13"/>
  <c r="N55" i="13"/>
  <c r="I55" i="13"/>
  <c r="A55" i="13"/>
  <c r="N54" i="13"/>
  <c r="I54" i="13"/>
  <c r="H54" i="13"/>
  <c r="C54" i="13"/>
  <c r="A54" i="13"/>
  <c r="N53" i="13"/>
  <c r="I53" i="13"/>
  <c r="H53" i="13"/>
  <c r="C53" i="13"/>
  <c r="A53" i="13"/>
  <c r="N52" i="13"/>
  <c r="O52" i="13" s="1"/>
  <c r="I52" i="13"/>
  <c r="H52" i="13"/>
  <c r="C52" i="13"/>
  <c r="A52" i="13"/>
  <c r="N51" i="13"/>
  <c r="O51" i="13" s="1"/>
  <c r="I51" i="13"/>
  <c r="H51" i="13"/>
  <c r="C51" i="13"/>
  <c r="A51" i="13"/>
  <c r="N50" i="13"/>
  <c r="I50" i="13"/>
  <c r="H50" i="13"/>
  <c r="C50" i="13"/>
  <c r="A50" i="13"/>
  <c r="N49" i="13"/>
  <c r="I49" i="13"/>
  <c r="H49" i="13"/>
  <c r="C49" i="13"/>
  <c r="A49" i="13"/>
  <c r="N48" i="13"/>
  <c r="O48" i="13" s="1"/>
  <c r="I48" i="13"/>
  <c r="H48" i="13"/>
  <c r="C48" i="13"/>
  <c r="A48" i="13"/>
  <c r="N47" i="13"/>
  <c r="O47" i="13" s="1"/>
  <c r="I47" i="13"/>
  <c r="H47" i="13"/>
  <c r="C47" i="13"/>
  <c r="A47" i="13"/>
  <c r="N46" i="13"/>
  <c r="I46" i="13"/>
  <c r="H46" i="13"/>
  <c r="C46" i="13"/>
  <c r="A46" i="13"/>
  <c r="N45" i="13"/>
  <c r="I45" i="13"/>
  <c r="H45" i="13"/>
  <c r="C45" i="13"/>
  <c r="A45" i="13"/>
  <c r="N44" i="13"/>
  <c r="O44" i="13" s="1"/>
  <c r="I44" i="13"/>
  <c r="H44" i="13"/>
  <c r="C44" i="13"/>
  <c r="A44" i="13"/>
  <c r="N43" i="13"/>
  <c r="O43" i="13" s="1"/>
  <c r="I43" i="13"/>
  <c r="H43" i="13"/>
  <c r="C43" i="13"/>
  <c r="A43" i="13"/>
  <c r="N42" i="13"/>
  <c r="I42" i="13"/>
  <c r="H42" i="13"/>
  <c r="C42" i="13"/>
  <c r="A42" i="13"/>
  <c r="N41" i="13"/>
  <c r="I41" i="13"/>
  <c r="H41" i="13"/>
  <c r="C41" i="13"/>
  <c r="A41" i="13"/>
  <c r="N40" i="13"/>
  <c r="O40" i="13" s="1"/>
  <c r="I40" i="13"/>
  <c r="H40" i="13"/>
  <c r="C40" i="13"/>
  <c r="A40" i="13"/>
  <c r="N39" i="13"/>
  <c r="O39" i="13" s="1"/>
  <c r="I39" i="13"/>
  <c r="H39" i="13"/>
  <c r="C39" i="13"/>
  <c r="A39" i="13"/>
  <c r="N38" i="13"/>
  <c r="I38" i="13"/>
  <c r="H38" i="13"/>
  <c r="C38" i="13"/>
  <c r="A38" i="13"/>
  <c r="N37" i="13"/>
  <c r="I37" i="13"/>
  <c r="H37" i="13"/>
  <c r="C37" i="13"/>
  <c r="A37" i="13"/>
  <c r="N36" i="13"/>
  <c r="O36" i="13" s="1"/>
  <c r="I36" i="13"/>
  <c r="H36" i="13"/>
  <c r="C36" i="13"/>
  <c r="A36" i="13"/>
  <c r="N35" i="13"/>
  <c r="O35" i="13" s="1"/>
  <c r="I35" i="13"/>
  <c r="H35" i="13"/>
  <c r="C35" i="13"/>
  <c r="A35" i="13"/>
  <c r="N34" i="13"/>
  <c r="I34" i="13"/>
  <c r="H34" i="13"/>
  <c r="C34" i="13"/>
  <c r="A34" i="13"/>
  <c r="H33" i="13"/>
  <c r="C33" i="13"/>
  <c r="A33" i="13"/>
  <c r="H32" i="13"/>
  <c r="C32" i="13"/>
  <c r="A32" i="13"/>
  <c r="H31" i="13"/>
  <c r="C31" i="13"/>
  <c r="A31" i="13"/>
  <c r="H30" i="13"/>
  <c r="C30" i="13"/>
  <c r="A30" i="13"/>
  <c r="M24" i="13"/>
  <c r="L24" i="13"/>
  <c r="K24" i="13"/>
  <c r="J24" i="13"/>
  <c r="M23" i="13"/>
  <c r="L23" i="13"/>
  <c r="K23" i="13"/>
  <c r="J23" i="13"/>
  <c r="M22" i="13"/>
  <c r="L22" i="13"/>
  <c r="K22" i="13"/>
  <c r="J22" i="13"/>
  <c r="M21" i="13"/>
  <c r="L21" i="13"/>
  <c r="K21" i="13"/>
  <c r="J21" i="13"/>
  <c r="M20" i="13"/>
  <c r="L20" i="13"/>
  <c r="K20" i="13"/>
  <c r="J20" i="13"/>
  <c r="M19" i="13"/>
  <c r="L19" i="13"/>
  <c r="K19" i="13"/>
  <c r="J19" i="13"/>
  <c r="M18" i="13"/>
  <c r="L18" i="13"/>
  <c r="K18" i="13"/>
  <c r="J18" i="13"/>
  <c r="M17" i="13"/>
  <c r="L17" i="13"/>
  <c r="K17" i="13"/>
  <c r="J17" i="13"/>
  <c r="M16" i="13"/>
  <c r="L16" i="13"/>
  <c r="K16" i="13"/>
  <c r="J16" i="13"/>
  <c r="C16" i="13"/>
  <c r="C17" i="13" s="1"/>
  <c r="B16" i="13"/>
  <c r="B17" i="13" s="1"/>
  <c r="M15" i="13"/>
  <c r="L15" i="13"/>
  <c r="K15" i="13"/>
  <c r="J15" i="13"/>
  <c r="M14" i="13"/>
  <c r="L14" i="13"/>
  <c r="K14" i="13"/>
  <c r="J14" i="13"/>
  <c r="M13" i="13"/>
  <c r="L13" i="13"/>
  <c r="K13" i="13"/>
  <c r="J13" i="13"/>
  <c r="M12" i="13"/>
  <c r="L12" i="13"/>
  <c r="K12" i="13"/>
  <c r="J12" i="13"/>
  <c r="M11" i="13"/>
  <c r="L11" i="13"/>
  <c r="K11" i="13"/>
  <c r="J11" i="13"/>
  <c r="M10" i="13"/>
  <c r="L10" i="13"/>
  <c r="K10" i="13"/>
  <c r="J10" i="13"/>
  <c r="M9" i="13"/>
  <c r="L9" i="13"/>
  <c r="K9" i="13"/>
  <c r="J9" i="13"/>
  <c r="M8" i="13"/>
  <c r="L8" i="13"/>
  <c r="K8" i="13"/>
  <c r="J8" i="13"/>
  <c r="M7" i="13"/>
  <c r="L7" i="13"/>
  <c r="K7" i="13"/>
  <c r="J7" i="13"/>
  <c r="M6" i="13"/>
  <c r="L6" i="13"/>
  <c r="K6" i="13"/>
  <c r="J6" i="13"/>
  <c r="M5" i="13"/>
  <c r="L5" i="13"/>
  <c r="K5" i="13"/>
  <c r="J5" i="13"/>
  <c r="B5" i="13"/>
  <c r="A5" i="13"/>
  <c r="D5" i="13" s="1"/>
  <c r="M4" i="13"/>
  <c r="L4" i="13"/>
  <c r="K4" i="13"/>
  <c r="J4" i="13"/>
  <c r="B4" i="13"/>
  <c r="A4" i="13"/>
  <c r="D4" i="13" s="1"/>
  <c r="B3" i="13"/>
  <c r="A3" i="13"/>
  <c r="D3" i="13" s="1"/>
  <c r="B45" i="3"/>
  <c r="B46" i="3" s="1"/>
  <c r="B47" i="3" s="1"/>
  <c r="B48" i="3" s="1"/>
  <c r="B49" i="3" s="1"/>
  <c r="B50" i="3" s="1"/>
  <c r="B51" i="3" s="1"/>
  <c r="B52" i="3" s="1"/>
  <c r="B53" i="3" s="1"/>
  <c r="B54" i="3" s="1"/>
  <c r="B55" i="3" s="1"/>
  <c r="B56" i="3" s="1"/>
  <c r="B57" i="3" s="1"/>
  <c r="B58" i="3" s="1"/>
  <c r="B59" i="3" s="1"/>
  <c r="B60" i="3" s="1"/>
  <c r="B61" i="3" s="1"/>
  <c r="B62" i="3" s="1"/>
  <c r="AG141" i="12"/>
  <c r="AG140" i="12"/>
  <c r="AG139" i="12"/>
  <c r="AG138" i="12"/>
  <c r="AG137" i="12"/>
  <c r="AG136" i="12"/>
  <c r="AG135" i="12"/>
  <c r="AG134" i="12"/>
  <c r="AG133" i="12"/>
  <c r="AG132" i="12"/>
  <c r="AG131" i="12"/>
  <c r="AG130" i="12"/>
  <c r="AG129" i="12"/>
  <c r="AG128" i="12"/>
  <c r="AG127" i="12"/>
  <c r="AG126" i="12"/>
  <c r="AG125" i="12"/>
  <c r="AG124" i="12"/>
  <c r="AG123" i="12"/>
  <c r="AG122" i="12"/>
  <c r="AG121" i="12"/>
  <c r="AG120" i="12"/>
  <c r="AG119" i="12"/>
  <c r="AG118" i="12"/>
  <c r="AG117" i="12"/>
  <c r="AG116" i="12"/>
  <c r="AG115" i="12"/>
  <c r="AG114" i="12"/>
  <c r="AG113" i="12"/>
  <c r="AG112" i="12"/>
  <c r="N24" i="10"/>
  <c r="N23" i="10"/>
  <c r="N22" i="10"/>
  <c r="N21" i="10"/>
  <c r="N20" i="10"/>
  <c r="N19" i="10"/>
  <c r="N18" i="10"/>
  <c r="N17" i="10"/>
  <c r="N16" i="10"/>
  <c r="N15" i="10"/>
  <c r="N14" i="10"/>
  <c r="N13" i="10"/>
  <c r="N12" i="10"/>
  <c r="N11" i="10"/>
  <c r="N10" i="10"/>
  <c r="N9" i="10"/>
  <c r="N8" i="10"/>
  <c r="N7" i="10"/>
  <c r="N6" i="10"/>
  <c r="N5" i="10"/>
  <c r="N4"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N58" i="10"/>
  <c r="I58" i="10"/>
  <c r="A58" i="10"/>
  <c r="N57" i="10"/>
  <c r="I57" i="10"/>
  <c r="A57" i="10"/>
  <c r="N56" i="10"/>
  <c r="I56" i="10"/>
  <c r="A56" i="10"/>
  <c r="N55" i="10"/>
  <c r="I55" i="10"/>
  <c r="A55" i="10"/>
  <c r="N54" i="10"/>
  <c r="I54" i="10"/>
  <c r="H54" i="10"/>
  <c r="C54" i="10"/>
  <c r="A54" i="10"/>
  <c r="N53" i="10"/>
  <c r="O53" i="10" s="1"/>
  <c r="I53" i="10"/>
  <c r="H53" i="10"/>
  <c r="C53" i="10"/>
  <c r="A53" i="10"/>
  <c r="N52" i="10"/>
  <c r="O52" i="10" s="1"/>
  <c r="I52" i="10"/>
  <c r="H52" i="10"/>
  <c r="C52" i="10"/>
  <c r="A52" i="10"/>
  <c r="N51" i="10"/>
  <c r="I51" i="10"/>
  <c r="H51" i="10"/>
  <c r="C51" i="10"/>
  <c r="A51" i="10"/>
  <c r="N50" i="10"/>
  <c r="I50" i="10"/>
  <c r="H50" i="10"/>
  <c r="C50" i="10"/>
  <c r="A50" i="10"/>
  <c r="N49" i="10"/>
  <c r="O49" i="10" s="1"/>
  <c r="I49" i="10"/>
  <c r="H49" i="10"/>
  <c r="C49" i="10"/>
  <c r="A49" i="10"/>
  <c r="N48" i="10"/>
  <c r="O48" i="10" s="1"/>
  <c r="I48" i="10"/>
  <c r="H48" i="10"/>
  <c r="C48" i="10"/>
  <c r="A48" i="10"/>
  <c r="N47" i="10"/>
  <c r="I47" i="10"/>
  <c r="H47" i="10"/>
  <c r="C47" i="10"/>
  <c r="A47" i="10"/>
  <c r="N46" i="10"/>
  <c r="I46" i="10"/>
  <c r="H46" i="10"/>
  <c r="C46" i="10"/>
  <c r="A46" i="10"/>
  <c r="N45" i="10"/>
  <c r="O45" i="10" s="1"/>
  <c r="I45" i="10"/>
  <c r="H45" i="10"/>
  <c r="C45" i="10"/>
  <c r="A45" i="10"/>
  <c r="N44" i="10"/>
  <c r="O44" i="10" s="1"/>
  <c r="I44" i="10"/>
  <c r="H44" i="10"/>
  <c r="C44" i="10"/>
  <c r="A44" i="10"/>
  <c r="N43" i="10"/>
  <c r="I43" i="10"/>
  <c r="H43" i="10"/>
  <c r="C43" i="10"/>
  <c r="A43" i="10"/>
  <c r="N42" i="10"/>
  <c r="I42" i="10"/>
  <c r="H42" i="10"/>
  <c r="C42" i="10"/>
  <c r="A42" i="10"/>
  <c r="N41" i="10"/>
  <c r="O41" i="10" s="1"/>
  <c r="I41" i="10"/>
  <c r="H41" i="10"/>
  <c r="C41" i="10"/>
  <c r="A41" i="10"/>
  <c r="N40" i="10"/>
  <c r="O40" i="10" s="1"/>
  <c r="I40" i="10"/>
  <c r="H40" i="10"/>
  <c r="C40" i="10"/>
  <c r="A40" i="10"/>
  <c r="N39" i="10"/>
  <c r="I39" i="10"/>
  <c r="H39" i="10"/>
  <c r="C39" i="10"/>
  <c r="A39" i="10"/>
  <c r="N38" i="10"/>
  <c r="I38" i="10"/>
  <c r="H38" i="10"/>
  <c r="C38" i="10"/>
  <c r="A38" i="10"/>
  <c r="N37" i="10"/>
  <c r="O37" i="10" s="1"/>
  <c r="I37" i="10"/>
  <c r="H37" i="10"/>
  <c r="C37" i="10"/>
  <c r="A37" i="10"/>
  <c r="N36" i="10"/>
  <c r="O36" i="10" s="1"/>
  <c r="I36" i="10"/>
  <c r="H36" i="10"/>
  <c r="C36" i="10"/>
  <c r="A36" i="10"/>
  <c r="N35" i="10"/>
  <c r="I35" i="10"/>
  <c r="H35" i="10"/>
  <c r="C35" i="10"/>
  <c r="A35" i="10"/>
  <c r="N34" i="10"/>
  <c r="I34" i="10"/>
  <c r="H34" i="10"/>
  <c r="C34" i="10"/>
  <c r="A34" i="10"/>
  <c r="H33" i="10"/>
  <c r="C33" i="10"/>
  <c r="A33" i="10"/>
  <c r="H32" i="10"/>
  <c r="C32" i="10"/>
  <c r="A32" i="10"/>
  <c r="H31" i="10"/>
  <c r="C31" i="10"/>
  <c r="A31" i="10"/>
  <c r="H30" i="10"/>
  <c r="C30" i="10"/>
  <c r="A30" i="10"/>
  <c r="M24" i="10"/>
  <c r="L24" i="10"/>
  <c r="K24" i="10"/>
  <c r="J24" i="10"/>
  <c r="M23" i="10"/>
  <c r="L23" i="10"/>
  <c r="K23" i="10"/>
  <c r="J23" i="10"/>
  <c r="M22" i="10"/>
  <c r="L22" i="10"/>
  <c r="K22" i="10"/>
  <c r="J22" i="10"/>
  <c r="M21" i="10"/>
  <c r="L21" i="10"/>
  <c r="K21" i="10"/>
  <c r="J21" i="10"/>
  <c r="M20" i="10"/>
  <c r="L20" i="10"/>
  <c r="K20" i="10"/>
  <c r="J20" i="10"/>
  <c r="M19" i="10"/>
  <c r="L19" i="10"/>
  <c r="K19" i="10"/>
  <c r="J19" i="10"/>
  <c r="M18" i="10"/>
  <c r="L18" i="10"/>
  <c r="K18" i="10"/>
  <c r="J18" i="10"/>
  <c r="M17" i="10"/>
  <c r="L17" i="10"/>
  <c r="K17" i="10"/>
  <c r="J17" i="10"/>
  <c r="M16" i="10"/>
  <c r="L16" i="10"/>
  <c r="K16" i="10"/>
  <c r="J16" i="10"/>
  <c r="C16" i="10"/>
  <c r="C17" i="10" s="1"/>
  <c r="B16" i="10"/>
  <c r="B17" i="10" s="1"/>
  <c r="M15" i="10"/>
  <c r="L15" i="10"/>
  <c r="K15" i="10"/>
  <c r="J15" i="10"/>
  <c r="M14" i="10"/>
  <c r="L14" i="10"/>
  <c r="K14" i="10"/>
  <c r="J14" i="10"/>
  <c r="M13" i="10"/>
  <c r="L13" i="10"/>
  <c r="K13" i="10"/>
  <c r="J13" i="10"/>
  <c r="M12" i="10"/>
  <c r="L12" i="10"/>
  <c r="K12" i="10"/>
  <c r="J12" i="10"/>
  <c r="M11" i="10"/>
  <c r="L11" i="10"/>
  <c r="K11" i="10"/>
  <c r="J11" i="10"/>
  <c r="M10" i="10"/>
  <c r="L10" i="10"/>
  <c r="K10" i="10"/>
  <c r="J10" i="10"/>
  <c r="M9" i="10"/>
  <c r="L9" i="10"/>
  <c r="K9" i="10"/>
  <c r="J9" i="10"/>
  <c r="M8" i="10"/>
  <c r="L8" i="10"/>
  <c r="K8" i="10"/>
  <c r="J8" i="10"/>
  <c r="M7" i="10"/>
  <c r="L7" i="10"/>
  <c r="K7" i="10"/>
  <c r="J7" i="10"/>
  <c r="M6" i="10"/>
  <c r="L6" i="10"/>
  <c r="K6" i="10"/>
  <c r="J6" i="10"/>
  <c r="M5" i="10"/>
  <c r="L5" i="10"/>
  <c r="K5" i="10"/>
  <c r="J5" i="10"/>
  <c r="B5" i="10"/>
  <c r="A5" i="10"/>
  <c r="D5" i="10" s="1"/>
  <c r="M4" i="10"/>
  <c r="L4" i="10"/>
  <c r="K4" i="10"/>
  <c r="J4" i="10"/>
  <c r="B4" i="10"/>
  <c r="A4" i="10"/>
  <c r="B3" i="10"/>
  <c r="A3" i="10"/>
  <c r="D3" i="10" s="1"/>
  <c r="N111" i="9"/>
  <c r="E111" i="9" s="1"/>
  <c r="L111" i="9"/>
  <c r="C111" i="9"/>
  <c r="N110" i="9"/>
  <c r="E110" i="9" s="1"/>
  <c r="L110" i="9"/>
  <c r="C110" i="9"/>
  <c r="N109" i="9"/>
  <c r="E109" i="9" s="1"/>
  <c r="L109" i="9"/>
  <c r="C109" i="9"/>
  <c r="N108" i="9"/>
  <c r="E108" i="9" s="1"/>
  <c r="L108" i="9"/>
  <c r="C108" i="9"/>
  <c r="N107" i="9"/>
  <c r="E107" i="9" s="1"/>
  <c r="L107" i="9"/>
  <c r="C107" i="9"/>
  <c r="N106" i="9"/>
  <c r="E106" i="9" s="1"/>
  <c r="L106" i="9"/>
  <c r="C106" i="9"/>
  <c r="N105" i="9"/>
  <c r="E105" i="9" s="1"/>
  <c r="L105" i="9"/>
  <c r="C105" i="9"/>
  <c r="N104" i="9"/>
  <c r="E104" i="9" s="1"/>
  <c r="L104" i="9"/>
  <c r="C104" i="9"/>
  <c r="N103" i="9"/>
  <c r="E103" i="9" s="1"/>
  <c r="L103" i="9"/>
  <c r="C103" i="9"/>
  <c r="O102" i="9"/>
  <c r="N102" i="9"/>
  <c r="M102" i="9"/>
  <c r="L102" i="9"/>
  <c r="F102" i="9"/>
  <c r="E102" i="9"/>
  <c r="D102" i="9"/>
  <c r="C102" i="9"/>
  <c r="O101" i="9"/>
  <c r="N101" i="9"/>
  <c r="M101" i="9"/>
  <c r="L101" i="9"/>
  <c r="F101" i="9"/>
  <c r="E101" i="9"/>
  <c r="D101" i="9"/>
  <c r="C101" i="9"/>
  <c r="D100" i="9"/>
  <c r="C100" i="9"/>
  <c r="D99" i="9"/>
  <c r="C99" i="9"/>
  <c r="D98" i="9"/>
  <c r="C98" i="9"/>
  <c r="D97" i="9"/>
  <c r="C97" i="9"/>
  <c r="D96" i="9"/>
  <c r="C96" i="9"/>
  <c r="D95" i="9"/>
  <c r="C95" i="9"/>
  <c r="N83" i="9"/>
  <c r="E83" i="9" s="1"/>
  <c r="L83" i="9"/>
  <c r="C83" i="9"/>
  <c r="N82" i="9"/>
  <c r="L82" i="9"/>
  <c r="E82" i="9"/>
  <c r="C82" i="9"/>
  <c r="N81" i="9"/>
  <c r="L81" i="9"/>
  <c r="E81" i="9"/>
  <c r="C81" i="9"/>
  <c r="N80" i="9"/>
  <c r="L80" i="9"/>
  <c r="E80" i="9"/>
  <c r="C80" i="9"/>
  <c r="N79" i="9"/>
  <c r="L79" i="9"/>
  <c r="E79" i="9"/>
  <c r="C79" i="9"/>
  <c r="N78" i="9"/>
  <c r="L78" i="9"/>
  <c r="E78" i="9"/>
  <c r="C78" i="9"/>
  <c r="N77" i="9"/>
  <c r="L77" i="9"/>
  <c r="E77" i="9"/>
  <c r="C77" i="9"/>
  <c r="N76" i="9"/>
  <c r="L76" i="9"/>
  <c r="E76" i="9"/>
  <c r="C76" i="9"/>
  <c r="N75" i="9"/>
  <c r="L75" i="9"/>
  <c r="E75" i="9"/>
  <c r="C75" i="9"/>
  <c r="O74" i="9"/>
  <c r="N74" i="9"/>
  <c r="M74" i="9"/>
  <c r="L74" i="9"/>
  <c r="F74" i="9"/>
  <c r="E74" i="9"/>
  <c r="D74" i="9"/>
  <c r="C74" i="9"/>
  <c r="O73" i="9"/>
  <c r="N73" i="9"/>
  <c r="M73" i="9"/>
  <c r="L73" i="9"/>
  <c r="F73" i="9"/>
  <c r="E73" i="9"/>
  <c r="D73" i="9"/>
  <c r="C73" i="9"/>
  <c r="D72" i="9"/>
  <c r="C72" i="9"/>
  <c r="D71" i="9"/>
  <c r="C71" i="9"/>
  <c r="D70" i="9"/>
  <c r="C70" i="9"/>
  <c r="D69" i="9"/>
  <c r="C69" i="9"/>
  <c r="D68" i="9"/>
  <c r="C68" i="9"/>
  <c r="D67" i="9"/>
  <c r="C67" i="9"/>
  <c r="N55" i="9"/>
  <c r="L55" i="9"/>
  <c r="E55" i="9"/>
  <c r="C55" i="9"/>
  <c r="N54" i="9"/>
  <c r="L54" i="9"/>
  <c r="E54" i="9"/>
  <c r="C54" i="9"/>
  <c r="N53" i="9"/>
  <c r="L53" i="9"/>
  <c r="E53" i="9"/>
  <c r="C53" i="9"/>
  <c r="N52" i="9"/>
  <c r="L52" i="9"/>
  <c r="E52" i="9"/>
  <c r="C52" i="9"/>
  <c r="N51" i="9"/>
  <c r="L51" i="9"/>
  <c r="E51" i="9"/>
  <c r="C51" i="9"/>
  <c r="N50" i="9"/>
  <c r="L50" i="9"/>
  <c r="E50" i="9"/>
  <c r="C50" i="9"/>
  <c r="N49" i="9"/>
  <c r="L49" i="9"/>
  <c r="E49" i="9"/>
  <c r="C49" i="9"/>
  <c r="N48" i="9"/>
  <c r="L48" i="9"/>
  <c r="E48" i="9"/>
  <c r="C48" i="9"/>
  <c r="N47" i="9"/>
  <c r="L47" i="9"/>
  <c r="E47" i="9"/>
  <c r="C47" i="9"/>
  <c r="O46" i="9"/>
  <c r="N46" i="9"/>
  <c r="M46" i="9"/>
  <c r="L46" i="9"/>
  <c r="F46" i="9"/>
  <c r="E46" i="9"/>
  <c r="D46" i="9"/>
  <c r="C46" i="9"/>
  <c r="O45" i="9"/>
  <c r="N45" i="9"/>
  <c r="M45" i="9"/>
  <c r="L45" i="9"/>
  <c r="F45" i="9"/>
  <c r="E45" i="9"/>
  <c r="D45" i="9"/>
  <c r="C45" i="9"/>
  <c r="O44" i="9"/>
  <c r="N44" i="9"/>
  <c r="M44" i="9"/>
  <c r="L44" i="9"/>
  <c r="F44" i="9"/>
  <c r="E44" i="9"/>
  <c r="D44" i="9"/>
  <c r="C44" i="9"/>
  <c r="O43" i="9"/>
  <c r="N43" i="9"/>
  <c r="M43" i="9"/>
  <c r="L43" i="9"/>
  <c r="F43" i="9"/>
  <c r="E43" i="9"/>
  <c r="D43" i="9"/>
  <c r="C43" i="9"/>
  <c r="O42" i="9"/>
  <c r="N42" i="9"/>
  <c r="M42" i="9"/>
  <c r="L42" i="9"/>
  <c r="F42" i="9"/>
  <c r="E42" i="9"/>
  <c r="D42" i="9"/>
  <c r="C42" i="9"/>
  <c r="N41" i="9"/>
  <c r="L41" i="9"/>
  <c r="E41" i="9"/>
  <c r="D41" i="9"/>
  <c r="C41" i="9"/>
  <c r="D40" i="9"/>
  <c r="C40" i="9"/>
  <c r="D39" i="9"/>
  <c r="C39" i="9"/>
  <c r="N27" i="9"/>
  <c r="L27" i="9"/>
  <c r="E27" i="9"/>
  <c r="C27" i="9"/>
  <c r="N26" i="9"/>
  <c r="L26" i="9"/>
  <c r="E26" i="9"/>
  <c r="C26" i="9"/>
  <c r="N25" i="9"/>
  <c r="L25" i="9"/>
  <c r="E25" i="9"/>
  <c r="C25" i="9"/>
  <c r="N24" i="9"/>
  <c r="L24" i="9"/>
  <c r="E24" i="9"/>
  <c r="C24" i="9"/>
  <c r="N23" i="9"/>
  <c r="L23" i="9"/>
  <c r="E23" i="9"/>
  <c r="C23" i="9"/>
  <c r="N22" i="9"/>
  <c r="L22" i="9"/>
  <c r="E22" i="9"/>
  <c r="C22" i="9"/>
  <c r="N21" i="9"/>
  <c r="L21" i="9"/>
  <c r="E21" i="9"/>
  <c r="C21" i="9"/>
  <c r="N20" i="9"/>
  <c r="L20" i="9"/>
  <c r="E20" i="9"/>
  <c r="C20" i="9"/>
  <c r="N19" i="9"/>
  <c r="L19" i="9"/>
  <c r="E19" i="9"/>
  <c r="C19" i="9"/>
  <c r="O18" i="9"/>
  <c r="N18" i="9"/>
  <c r="M18" i="9"/>
  <c r="L18" i="9"/>
  <c r="F18" i="9"/>
  <c r="E18" i="9"/>
  <c r="D18" i="9"/>
  <c r="C18" i="9"/>
  <c r="O17" i="9"/>
  <c r="N17" i="9"/>
  <c r="M17" i="9"/>
  <c r="L17" i="9"/>
  <c r="F17" i="9"/>
  <c r="E17" i="9"/>
  <c r="D17" i="9"/>
  <c r="C17" i="9"/>
  <c r="O16" i="9"/>
  <c r="N16" i="9"/>
  <c r="M16" i="9"/>
  <c r="L16" i="9"/>
  <c r="F16" i="9"/>
  <c r="E16" i="9"/>
  <c r="D16" i="9"/>
  <c r="C16" i="9"/>
  <c r="O15" i="9"/>
  <c r="N15" i="9"/>
  <c r="M15" i="9"/>
  <c r="L15" i="9"/>
  <c r="F15" i="9"/>
  <c r="E15" i="9"/>
  <c r="D15" i="9"/>
  <c r="C15" i="9"/>
  <c r="O14" i="9"/>
  <c r="N14" i="9"/>
  <c r="E14" i="9" s="1"/>
  <c r="M14" i="9"/>
  <c r="L14" i="9"/>
  <c r="D14" i="9"/>
  <c r="C14" i="9"/>
  <c r="N13" i="9"/>
  <c r="L13" i="9"/>
  <c r="D13" i="9"/>
  <c r="C13" i="9"/>
  <c r="D12" i="9"/>
  <c r="C12" i="9"/>
  <c r="D11" i="9"/>
  <c r="C11" i="9"/>
  <c r="N108" i="8"/>
  <c r="L108" i="8"/>
  <c r="E108" i="8"/>
  <c r="C111" i="8"/>
  <c r="N107" i="8"/>
  <c r="L107" i="8"/>
  <c r="E107" i="8"/>
  <c r="C110" i="8"/>
  <c r="N106" i="8"/>
  <c r="L106" i="8"/>
  <c r="E106" i="8"/>
  <c r="C109" i="8"/>
  <c r="N105" i="8"/>
  <c r="L105" i="8"/>
  <c r="E105" i="8"/>
  <c r="C108" i="8"/>
  <c r="N104" i="8"/>
  <c r="L104" i="8"/>
  <c r="E104" i="8"/>
  <c r="C107" i="8"/>
  <c r="N103" i="8"/>
  <c r="L103" i="8"/>
  <c r="E103" i="8"/>
  <c r="C106" i="8"/>
  <c r="N102" i="8"/>
  <c r="L102" i="8"/>
  <c r="E102" i="8"/>
  <c r="C105" i="8"/>
  <c r="N101" i="8"/>
  <c r="L101" i="8"/>
  <c r="E101" i="8"/>
  <c r="C104" i="8"/>
  <c r="N100" i="8"/>
  <c r="L100" i="8"/>
  <c r="E100" i="8"/>
  <c r="C103" i="8"/>
  <c r="O99" i="8"/>
  <c r="N99" i="8"/>
  <c r="M98" i="8"/>
  <c r="L99" i="8"/>
  <c r="F102" i="8"/>
  <c r="E99" i="8"/>
  <c r="D102" i="8"/>
  <c r="C102" i="8"/>
  <c r="O98" i="8"/>
  <c r="N98" i="8"/>
  <c r="M97" i="8"/>
  <c r="L98" i="8"/>
  <c r="F101" i="8"/>
  <c r="E98" i="8"/>
  <c r="D101" i="8"/>
  <c r="C101" i="8"/>
  <c r="D100" i="8"/>
  <c r="C100" i="8"/>
  <c r="D99" i="8"/>
  <c r="C99" i="8"/>
  <c r="D98" i="8"/>
  <c r="C98" i="8"/>
  <c r="D97" i="8"/>
  <c r="C97" i="8"/>
  <c r="D96" i="8"/>
  <c r="C96" i="8"/>
  <c r="D95" i="8"/>
  <c r="C95" i="8"/>
  <c r="N80" i="8"/>
  <c r="L80" i="8"/>
  <c r="E80" i="8"/>
  <c r="C83" i="8"/>
  <c r="N79" i="8"/>
  <c r="L79" i="8"/>
  <c r="E79" i="8"/>
  <c r="C82" i="8"/>
  <c r="N78" i="8"/>
  <c r="L78" i="8"/>
  <c r="E78" i="8"/>
  <c r="C81" i="8"/>
  <c r="N77" i="8"/>
  <c r="L77" i="8"/>
  <c r="E77" i="8"/>
  <c r="C80" i="8"/>
  <c r="N76" i="8"/>
  <c r="L76" i="8"/>
  <c r="E76" i="8"/>
  <c r="C79" i="8"/>
  <c r="N75" i="8"/>
  <c r="L75" i="8"/>
  <c r="E75" i="8"/>
  <c r="C78" i="8"/>
  <c r="N74" i="8"/>
  <c r="L74" i="8"/>
  <c r="E74" i="8"/>
  <c r="C77" i="8"/>
  <c r="N73" i="8"/>
  <c r="L73" i="8"/>
  <c r="E73" i="8"/>
  <c r="C76" i="8"/>
  <c r="N72" i="8"/>
  <c r="L72" i="8"/>
  <c r="E72" i="8"/>
  <c r="C75" i="8"/>
  <c r="O71" i="8"/>
  <c r="N71" i="8"/>
  <c r="M70" i="8"/>
  <c r="L71" i="8"/>
  <c r="F74" i="8"/>
  <c r="E71" i="8"/>
  <c r="D74" i="8"/>
  <c r="C74" i="8"/>
  <c r="O70" i="8"/>
  <c r="N70" i="8"/>
  <c r="M69" i="8"/>
  <c r="L70" i="8"/>
  <c r="F73" i="8"/>
  <c r="E70" i="8"/>
  <c r="D73" i="8"/>
  <c r="C73" i="8"/>
  <c r="D72" i="8"/>
  <c r="C72" i="8"/>
  <c r="D71" i="8"/>
  <c r="C71" i="8"/>
  <c r="D70" i="8"/>
  <c r="C70" i="8"/>
  <c r="D69" i="8"/>
  <c r="C69" i="8"/>
  <c r="D68" i="8"/>
  <c r="C68" i="8"/>
  <c r="D67" i="8"/>
  <c r="C67" i="8"/>
  <c r="N52" i="8"/>
  <c r="L52" i="8"/>
  <c r="E52" i="8"/>
  <c r="C55" i="8"/>
  <c r="N51" i="8"/>
  <c r="L51" i="8"/>
  <c r="E51" i="8"/>
  <c r="C54" i="8"/>
  <c r="N50" i="8"/>
  <c r="L50" i="8"/>
  <c r="E50" i="8"/>
  <c r="C53" i="8"/>
  <c r="N49" i="8"/>
  <c r="L49" i="8"/>
  <c r="E49" i="8"/>
  <c r="C52" i="8"/>
  <c r="N48" i="8"/>
  <c r="L48" i="8"/>
  <c r="E48" i="8"/>
  <c r="C51" i="8"/>
  <c r="N47" i="8"/>
  <c r="L47" i="8"/>
  <c r="E47" i="8"/>
  <c r="C50" i="8"/>
  <c r="N46" i="8"/>
  <c r="L46" i="8"/>
  <c r="E46" i="8"/>
  <c r="C49" i="8"/>
  <c r="N45" i="8"/>
  <c r="L45" i="8"/>
  <c r="E45" i="8"/>
  <c r="C48" i="8"/>
  <c r="N44" i="8"/>
  <c r="L44" i="8"/>
  <c r="E44" i="8"/>
  <c r="C47" i="8"/>
  <c r="O43" i="8"/>
  <c r="N43" i="8"/>
  <c r="M42" i="8"/>
  <c r="L43" i="8"/>
  <c r="F46" i="8"/>
  <c r="E43" i="8"/>
  <c r="D46" i="8"/>
  <c r="C46" i="8"/>
  <c r="O42" i="8"/>
  <c r="N42" i="8"/>
  <c r="M41" i="8"/>
  <c r="L42" i="8"/>
  <c r="F45" i="8"/>
  <c r="E42" i="8"/>
  <c r="D45" i="8"/>
  <c r="C45" i="8"/>
  <c r="O41" i="8"/>
  <c r="N41" i="8"/>
  <c r="M40" i="8"/>
  <c r="L41" i="8"/>
  <c r="F44" i="8"/>
  <c r="E41" i="8"/>
  <c r="D44" i="8"/>
  <c r="C44" i="8"/>
  <c r="O40" i="8"/>
  <c r="N40" i="8"/>
  <c r="M39" i="8"/>
  <c r="L40" i="8"/>
  <c r="F43" i="8"/>
  <c r="E40" i="8"/>
  <c r="D43" i="8"/>
  <c r="C43" i="8"/>
  <c r="O39" i="8"/>
  <c r="N39" i="8"/>
  <c r="M38" i="8"/>
  <c r="L39" i="8"/>
  <c r="F42" i="8"/>
  <c r="E39" i="8"/>
  <c r="D42" i="8"/>
  <c r="C42" i="8"/>
  <c r="N38" i="8"/>
  <c r="E38" i="8" s="1"/>
  <c r="L38" i="8"/>
  <c r="D41" i="8"/>
  <c r="C41" i="8"/>
  <c r="D40" i="8"/>
  <c r="C40" i="8"/>
  <c r="D39" i="8"/>
  <c r="C39" i="8"/>
  <c r="C27" i="8"/>
  <c r="C26" i="8"/>
  <c r="C25" i="8"/>
  <c r="C24" i="8"/>
  <c r="C23" i="8"/>
  <c r="C22" i="8"/>
  <c r="C21" i="8"/>
  <c r="C20" i="8"/>
  <c r="C19" i="8"/>
  <c r="D18" i="8"/>
  <c r="C18" i="8"/>
  <c r="D17" i="8"/>
  <c r="C17" i="8"/>
  <c r="D16" i="8"/>
  <c r="C16" i="8"/>
  <c r="D15" i="8"/>
  <c r="C15" i="8"/>
  <c r="D14" i="8"/>
  <c r="C14" i="8"/>
  <c r="D13" i="8"/>
  <c r="C13" i="8"/>
  <c r="D12" i="8"/>
  <c r="C12" i="8"/>
  <c r="D11" i="8"/>
  <c r="C11" i="8"/>
  <c r="N111" i="5"/>
  <c r="L111" i="5"/>
  <c r="E111" i="5"/>
  <c r="C111" i="5"/>
  <c r="N110" i="5"/>
  <c r="L110" i="5"/>
  <c r="E110" i="5"/>
  <c r="C110" i="5"/>
  <c r="N109" i="5"/>
  <c r="L109" i="5"/>
  <c r="E109" i="5"/>
  <c r="C109" i="5"/>
  <c r="N108" i="5"/>
  <c r="L108" i="5"/>
  <c r="E108" i="5"/>
  <c r="C108" i="5"/>
  <c r="N107" i="5"/>
  <c r="L107" i="5"/>
  <c r="E107" i="5"/>
  <c r="C107" i="5"/>
  <c r="N106" i="5"/>
  <c r="L106" i="5"/>
  <c r="E106" i="5"/>
  <c r="C106" i="5"/>
  <c r="N105" i="5"/>
  <c r="L105" i="5"/>
  <c r="E105" i="5"/>
  <c r="C105" i="5"/>
  <c r="N104" i="5"/>
  <c r="L104" i="5"/>
  <c r="E104" i="5"/>
  <c r="C104" i="5"/>
  <c r="N103" i="5"/>
  <c r="L103" i="5"/>
  <c r="E103" i="5"/>
  <c r="C103" i="5"/>
  <c r="O102" i="5"/>
  <c r="N102" i="5"/>
  <c r="M102" i="5"/>
  <c r="L102" i="5"/>
  <c r="F102" i="5"/>
  <c r="E102" i="5"/>
  <c r="D102" i="5"/>
  <c r="C102" i="5"/>
  <c r="O101" i="5"/>
  <c r="N101" i="5"/>
  <c r="M101" i="5"/>
  <c r="L101" i="5"/>
  <c r="F101" i="5"/>
  <c r="E101" i="5"/>
  <c r="D101" i="5"/>
  <c r="C101" i="5"/>
  <c r="D100" i="5"/>
  <c r="C100" i="5"/>
  <c r="D99" i="5"/>
  <c r="C99" i="5"/>
  <c r="D98" i="5"/>
  <c r="C98" i="5"/>
  <c r="D97" i="5"/>
  <c r="C97" i="5"/>
  <c r="D96" i="5"/>
  <c r="C96" i="5"/>
  <c r="D95" i="5"/>
  <c r="C95" i="5"/>
  <c r="N83" i="5"/>
  <c r="L83" i="5"/>
  <c r="E83" i="5"/>
  <c r="C83" i="5"/>
  <c r="N82" i="5"/>
  <c r="L82" i="5"/>
  <c r="E82" i="5"/>
  <c r="C82" i="5"/>
  <c r="N81" i="5"/>
  <c r="L81" i="5"/>
  <c r="E81" i="5"/>
  <c r="C81" i="5"/>
  <c r="N80" i="5"/>
  <c r="L80" i="5"/>
  <c r="E80" i="5"/>
  <c r="C80" i="5"/>
  <c r="N79" i="5"/>
  <c r="L79" i="5"/>
  <c r="E79" i="5"/>
  <c r="C79" i="5"/>
  <c r="N78" i="5"/>
  <c r="E78" i="5" s="1"/>
  <c r="L78" i="5"/>
  <c r="C78" i="5"/>
  <c r="N77" i="5"/>
  <c r="E77" i="5" s="1"/>
  <c r="L77" i="5"/>
  <c r="C77" i="5"/>
  <c r="N76" i="5"/>
  <c r="E76" i="5" s="1"/>
  <c r="L76" i="5"/>
  <c r="C76" i="5"/>
  <c r="N75" i="5"/>
  <c r="E75" i="5" s="1"/>
  <c r="L75" i="5"/>
  <c r="C75" i="5"/>
  <c r="O74" i="5"/>
  <c r="N74" i="5"/>
  <c r="M74" i="5"/>
  <c r="L74" i="5"/>
  <c r="F74" i="5"/>
  <c r="E74" i="5"/>
  <c r="D74" i="5"/>
  <c r="C74" i="5"/>
  <c r="O73" i="5"/>
  <c r="N73" i="5"/>
  <c r="M73" i="5"/>
  <c r="L73" i="5"/>
  <c r="F73" i="5"/>
  <c r="E73" i="5"/>
  <c r="D73" i="5"/>
  <c r="C73" i="5"/>
  <c r="D72" i="5"/>
  <c r="C72" i="5"/>
  <c r="D71" i="5"/>
  <c r="C71" i="5"/>
  <c r="D70" i="5"/>
  <c r="C70" i="5"/>
  <c r="D69" i="5"/>
  <c r="C69" i="5"/>
  <c r="D68" i="5"/>
  <c r="C68" i="5"/>
  <c r="D67" i="5"/>
  <c r="C67" i="5"/>
  <c r="N55" i="5"/>
  <c r="E55" i="5" s="1"/>
  <c r="L55" i="5"/>
  <c r="C55" i="5"/>
  <c r="N54" i="5"/>
  <c r="E54" i="5" s="1"/>
  <c r="L54" i="5"/>
  <c r="C54" i="5"/>
  <c r="N53" i="5"/>
  <c r="E53" i="5" s="1"/>
  <c r="L53" i="5"/>
  <c r="C53" i="5"/>
  <c r="N52" i="5"/>
  <c r="E52" i="5" s="1"/>
  <c r="L52" i="5"/>
  <c r="C52" i="5"/>
  <c r="N51" i="5"/>
  <c r="E51" i="5" s="1"/>
  <c r="L51" i="5"/>
  <c r="C51" i="5"/>
  <c r="N50" i="5"/>
  <c r="E50" i="5" s="1"/>
  <c r="L50" i="5"/>
  <c r="C50" i="5"/>
  <c r="N49" i="5"/>
  <c r="E49" i="5" s="1"/>
  <c r="L49" i="5"/>
  <c r="C49" i="5"/>
  <c r="N48" i="5"/>
  <c r="E48" i="5" s="1"/>
  <c r="L48" i="5"/>
  <c r="C48" i="5"/>
  <c r="N47" i="5"/>
  <c r="E47" i="5" s="1"/>
  <c r="L47" i="5"/>
  <c r="C47" i="5"/>
  <c r="O46" i="5"/>
  <c r="N46" i="5"/>
  <c r="M46" i="5"/>
  <c r="L46" i="5"/>
  <c r="F46" i="5"/>
  <c r="E46" i="5"/>
  <c r="D46" i="5"/>
  <c r="C46" i="5"/>
  <c r="O45" i="5"/>
  <c r="N45" i="5"/>
  <c r="M45" i="5"/>
  <c r="L45" i="5"/>
  <c r="F45" i="5"/>
  <c r="E45" i="5"/>
  <c r="D45" i="5"/>
  <c r="C45" i="5"/>
  <c r="O44" i="5"/>
  <c r="N44" i="5"/>
  <c r="M44" i="5"/>
  <c r="L44" i="5"/>
  <c r="F44" i="5"/>
  <c r="E44" i="5"/>
  <c r="D44" i="5"/>
  <c r="C44" i="5"/>
  <c r="O43" i="5"/>
  <c r="N43" i="5"/>
  <c r="M43" i="5"/>
  <c r="L43" i="5"/>
  <c r="F43" i="5"/>
  <c r="E43" i="5"/>
  <c r="D43" i="5"/>
  <c r="C43" i="5"/>
  <c r="O42" i="5"/>
  <c r="N42" i="5"/>
  <c r="M42" i="5"/>
  <c r="L42" i="5"/>
  <c r="F42" i="5"/>
  <c r="E42" i="5"/>
  <c r="D42" i="5"/>
  <c r="C42" i="5"/>
  <c r="N41" i="5"/>
  <c r="E41" i="5" s="1"/>
  <c r="L41" i="5"/>
  <c r="D41" i="5"/>
  <c r="C41" i="5"/>
  <c r="D40" i="5"/>
  <c r="C40" i="5"/>
  <c r="D39" i="5"/>
  <c r="C39" i="5"/>
  <c r="N27" i="5"/>
  <c r="L27" i="5"/>
  <c r="E27" i="5"/>
  <c r="C27" i="5"/>
  <c r="N26" i="5"/>
  <c r="L26" i="5"/>
  <c r="E26" i="5"/>
  <c r="C26" i="5"/>
  <c r="N25" i="5"/>
  <c r="L25" i="5"/>
  <c r="E25" i="5"/>
  <c r="C25" i="5"/>
  <c r="N24" i="5"/>
  <c r="E24" i="5" s="1"/>
  <c r="L24" i="5"/>
  <c r="C24" i="5"/>
  <c r="N23" i="5"/>
  <c r="E23" i="5" s="1"/>
  <c r="L23" i="5"/>
  <c r="C23" i="5"/>
  <c r="N22" i="5"/>
  <c r="E22" i="5" s="1"/>
  <c r="L22" i="5"/>
  <c r="C22" i="5"/>
  <c r="N21" i="5"/>
  <c r="E21" i="5" s="1"/>
  <c r="L21" i="5"/>
  <c r="C21" i="5"/>
  <c r="N20" i="5"/>
  <c r="E20" i="5" s="1"/>
  <c r="L20" i="5"/>
  <c r="C20" i="5"/>
  <c r="N19" i="5"/>
  <c r="E19" i="5" s="1"/>
  <c r="L19" i="5"/>
  <c r="C19" i="5"/>
  <c r="O18" i="5"/>
  <c r="N18" i="5"/>
  <c r="M18" i="5"/>
  <c r="L18" i="5"/>
  <c r="F18" i="5"/>
  <c r="E18" i="5"/>
  <c r="D18" i="5"/>
  <c r="C18" i="5"/>
  <c r="O17" i="5"/>
  <c r="N17" i="5"/>
  <c r="M17" i="5"/>
  <c r="L17" i="5"/>
  <c r="F17" i="5"/>
  <c r="E17" i="5"/>
  <c r="D17" i="5"/>
  <c r="C17" i="5"/>
  <c r="O16" i="5"/>
  <c r="N16" i="5"/>
  <c r="M16" i="5"/>
  <c r="L16" i="5"/>
  <c r="F16" i="5"/>
  <c r="E16" i="5"/>
  <c r="D16" i="5"/>
  <c r="C16" i="5"/>
  <c r="O15" i="5"/>
  <c r="N15" i="5"/>
  <c r="M15" i="5"/>
  <c r="L15" i="5"/>
  <c r="F15" i="5"/>
  <c r="E15" i="5"/>
  <c r="D15" i="5"/>
  <c r="C15" i="5"/>
  <c r="O14" i="5"/>
  <c r="N14" i="5"/>
  <c r="M14" i="5"/>
  <c r="L14" i="5"/>
  <c r="E14" i="5"/>
  <c r="D14" i="5"/>
  <c r="C14" i="5"/>
  <c r="N13" i="5"/>
  <c r="L13" i="5"/>
  <c r="D13" i="5"/>
  <c r="C13" i="5"/>
  <c r="D12" i="5"/>
  <c r="C12" i="5"/>
  <c r="D11" i="5"/>
  <c r="C11" i="5"/>
  <c r="O34" i="10" l="1"/>
  <c r="O38" i="10"/>
  <c r="O42" i="10"/>
  <c r="O46" i="10"/>
  <c r="O50" i="10"/>
  <c r="O37" i="13"/>
  <c r="O41" i="13"/>
  <c r="O45" i="13"/>
  <c r="O49" i="13"/>
  <c r="O53" i="13"/>
  <c r="F17" i="14"/>
  <c r="C10" i="7"/>
  <c r="N12" i="15"/>
  <c r="E13" i="15" s="1"/>
  <c r="N16" i="15"/>
  <c r="E17" i="15" s="1"/>
  <c r="N19" i="15"/>
  <c r="E20" i="15" s="1"/>
  <c r="N21" i="15"/>
  <c r="E22" i="15" s="1"/>
  <c r="N23" i="15"/>
  <c r="E24" i="15" s="1"/>
  <c r="N25" i="15"/>
  <c r="N27" i="15"/>
  <c r="O35" i="10"/>
  <c r="O39" i="10"/>
  <c r="O43" i="10"/>
  <c r="O47" i="10"/>
  <c r="O51" i="10"/>
  <c r="O34" i="13"/>
  <c r="O38" i="13"/>
  <c r="O42" i="13"/>
  <c r="O46" i="13"/>
  <c r="O50" i="13"/>
  <c r="N11" i="15"/>
  <c r="E12" i="15" s="1"/>
  <c r="N15" i="15"/>
  <c r="E16" i="15" s="1"/>
  <c r="D4" i="10"/>
  <c r="E15" i="14"/>
  <c r="F17" i="15"/>
  <c r="N13" i="15"/>
  <c r="E14" i="15" s="1"/>
  <c r="N17" i="15"/>
  <c r="E18" i="15" s="1"/>
  <c r="D6" i="17"/>
  <c r="D7" i="17"/>
  <c r="E5" i="17"/>
  <c r="C6" i="17"/>
  <c r="C7" i="17"/>
  <c r="C8" i="17" s="1"/>
  <c r="D11" i="7"/>
  <c r="C13" i="7"/>
  <c r="C14" i="7"/>
  <c r="C15" i="7" s="1"/>
  <c r="E12" i="7"/>
  <c r="D12" i="7"/>
  <c r="C6" i="7"/>
  <c r="C7" i="7"/>
  <c r="C8" i="7" s="1"/>
  <c r="D4" i="7"/>
  <c r="D5" i="7" s="1"/>
  <c r="E5" i="7"/>
  <c r="F14" i="15"/>
  <c r="F15" i="15"/>
  <c r="F16" i="15"/>
  <c r="E14" i="7"/>
  <c r="E7" i="7"/>
  <c r="E13" i="7"/>
  <c r="I16" i="2"/>
  <c r="I15" i="2"/>
  <c r="G15" i="2"/>
  <c r="A93" i="2" s="1"/>
  <c r="B16" i="2"/>
  <c r="G16" i="2" s="1"/>
  <c r="F24" i="3"/>
  <c r="G24" i="3" s="1"/>
  <c r="F22" i="3"/>
  <c r="F21" i="3"/>
  <c r="F20" i="3"/>
  <c r="F19" i="3"/>
  <c r="F18" i="3"/>
  <c r="F17" i="3"/>
  <c r="F16" i="3"/>
  <c r="F15" i="3"/>
  <c r="F14" i="3"/>
  <c r="F13" i="3"/>
  <c r="F12" i="3"/>
  <c r="F11" i="3"/>
  <c r="F10" i="3"/>
  <c r="F9" i="3"/>
  <c r="F8" i="3"/>
  <c r="F7" i="3"/>
  <c r="F6" i="3"/>
  <c r="F5" i="3"/>
  <c r="G5" i="3" s="1"/>
  <c r="F4" i="3"/>
  <c r="G4" i="3" s="1"/>
  <c r="V100" i="2"/>
  <c r="V99" i="2"/>
  <c r="V98" i="2"/>
  <c r="V97" i="2"/>
  <c r="V96" i="2"/>
  <c r="U100" i="2"/>
  <c r="U99" i="2"/>
  <c r="U98" i="2"/>
  <c r="U97" i="2"/>
  <c r="U96" i="2"/>
  <c r="D108" i="2"/>
  <c r="B4" i="3"/>
  <c r="B5" i="3"/>
  <c r="B6" i="3" s="1"/>
  <c r="AG140" i="2"/>
  <c r="AG139" i="2"/>
  <c r="AG138" i="2"/>
  <c r="AG137" i="2"/>
  <c r="AG136" i="2"/>
  <c r="AG135" i="2"/>
  <c r="AG134" i="2"/>
  <c r="AG133" i="2"/>
  <c r="AG132" i="2"/>
  <c r="AG131" i="2"/>
  <c r="AG130" i="2"/>
  <c r="AG129" i="2"/>
  <c r="AG128" i="2"/>
  <c r="AG127" i="2"/>
  <c r="AG126" i="2"/>
  <c r="AG125" i="2"/>
  <c r="AG124" i="2"/>
  <c r="AG123" i="2"/>
  <c r="AG122" i="2"/>
  <c r="AG121" i="2"/>
  <c r="AG120" i="2"/>
  <c r="AG119" i="2"/>
  <c r="AG118" i="2"/>
  <c r="AG117" i="2"/>
  <c r="AG116" i="2"/>
  <c r="AG115" i="2"/>
  <c r="AG114" i="2"/>
  <c r="AG113" i="2"/>
  <c r="AG112" i="2"/>
  <c r="AG111" i="2"/>
  <c r="AG110" i="2"/>
  <c r="AG109" i="2"/>
  <c r="AG108" i="2"/>
  <c r="AG107" i="2"/>
  <c r="AG106" i="2"/>
  <c r="AG105" i="2"/>
  <c r="AG104" i="2"/>
  <c r="AG103" i="2"/>
  <c r="AG102" i="2"/>
  <c r="AG101" i="2"/>
  <c r="AG100" i="2"/>
  <c r="AG99" i="2"/>
  <c r="AG98" i="2"/>
  <c r="AG97" i="2"/>
  <c r="AG96" i="2"/>
  <c r="AG95" i="2"/>
  <c r="AG94" i="2"/>
  <c r="AG93" i="2"/>
  <c r="AG92" i="2"/>
  <c r="AG91" i="2"/>
  <c r="AG90" i="2"/>
  <c r="AG89" i="2"/>
  <c r="AG88" i="2"/>
  <c r="AG87" i="2"/>
  <c r="AG86" i="2"/>
  <c r="AG85" i="2"/>
  <c r="AG84" i="2"/>
  <c r="AG83" i="2"/>
  <c r="AG82" i="2"/>
  <c r="AG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E7" i="2"/>
  <c r="H8" i="2" s="1"/>
  <c r="H7" i="2"/>
  <c r="Q8" i="2" s="1"/>
  <c r="X67" i="2"/>
  <c r="Z67" i="2" s="1"/>
  <c r="X66" i="2"/>
  <c r="Z66" i="2" s="1"/>
  <c r="X65" i="2"/>
  <c r="Z65" i="2" s="1"/>
  <c r="X64" i="2"/>
  <c r="Z64" i="2" s="1"/>
  <c r="X63" i="2"/>
  <c r="Z63" i="2" s="1"/>
  <c r="X62" i="2"/>
  <c r="Z62" i="2" s="1"/>
  <c r="X61" i="2"/>
  <c r="Z61" i="2" s="1"/>
  <c r="X60" i="2"/>
  <c r="Z60" i="2" s="1"/>
  <c r="X59" i="2"/>
  <c r="Z59" i="2" s="1"/>
  <c r="X58" i="2"/>
  <c r="Z58" i="2" s="1"/>
  <c r="X57" i="2"/>
  <c r="Z57" i="2" s="1"/>
  <c r="X56" i="2"/>
  <c r="Z56" i="2" s="1"/>
  <c r="X55" i="2"/>
  <c r="Z55" i="2" s="1"/>
  <c r="X54" i="2"/>
  <c r="Z54" i="2" s="1"/>
  <c r="X53" i="2"/>
  <c r="Z53" i="2" s="1"/>
  <c r="X52" i="2"/>
  <c r="Z52" i="2" s="1"/>
  <c r="X51" i="2"/>
  <c r="Z51" i="2" s="1"/>
  <c r="X50" i="2"/>
  <c r="Z50" i="2" s="1"/>
  <c r="W67" i="2"/>
  <c r="Y67" i="2" s="1"/>
  <c r="W66" i="2"/>
  <c r="Y66" i="2" s="1"/>
  <c r="W65" i="2"/>
  <c r="Y65" i="2" s="1"/>
  <c r="W64" i="2"/>
  <c r="Y64" i="2" s="1"/>
  <c r="W63" i="2"/>
  <c r="Y63" i="2" s="1"/>
  <c r="W62" i="2"/>
  <c r="Y62" i="2" s="1"/>
  <c r="W61" i="2"/>
  <c r="Y61" i="2" s="1"/>
  <c r="W60" i="2"/>
  <c r="Y60" i="2" s="1"/>
  <c r="W59" i="2"/>
  <c r="Y59" i="2" s="1"/>
  <c r="W58" i="2"/>
  <c r="Y58" i="2" s="1"/>
  <c r="W57" i="2"/>
  <c r="Y57" i="2" s="1"/>
  <c r="W56" i="2"/>
  <c r="Y56" i="2" s="1"/>
  <c r="W55" i="2"/>
  <c r="Y55" i="2" s="1"/>
  <c r="W54" i="2"/>
  <c r="Y54" i="2" s="1"/>
  <c r="W53" i="2"/>
  <c r="Y53" i="2" s="1"/>
  <c r="W52" i="2"/>
  <c r="Y52" i="2" s="1"/>
  <c r="W51" i="2"/>
  <c r="Y51" i="2" s="1"/>
  <c r="W50" i="2"/>
  <c r="Y50" i="2" s="1"/>
  <c r="B25" i="3"/>
  <c r="B26" i="3" s="1"/>
  <c r="B27" i="3" s="1"/>
  <c r="B28" i="3" s="1"/>
  <c r="B29" i="3" s="1"/>
  <c r="B30" i="3" s="1"/>
  <c r="B31" i="3" s="1"/>
  <c r="B32" i="3" s="1"/>
  <c r="B33" i="3" s="1"/>
  <c r="B34" i="3" s="1"/>
  <c r="B35" i="3" s="1"/>
  <c r="B36" i="3" s="1"/>
  <c r="B37" i="3" s="1"/>
  <c r="B38" i="3" s="1"/>
  <c r="B39" i="3" s="1"/>
  <c r="B40" i="3" s="1"/>
  <c r="B41" i="3" s="1"/>
  <c r="B42" i="3" s="1"/>
  <c r="D25" i="3"/>
  <c r="D26" i="3" s="1"/>
  <c r="C25" i="3"/>
  <c r="C26" i="3" s="1"/>
  <c r="C27" i="3" s="1"/>
  <c r="C28" i="3" s="1"/>
  <c r="C29" i="3" s="1"/>
  <c r="C30" i="3" s="1"/>
  <c r="C31" i="3" s="1"/>
  <c r="C32" i="3" s="1"/>
  <c r="C33" i="3" s="1"/>
  <c r="C34" i="3" s="1"/>
  <c r="C35" i="3" s="1"/>
  <c r="C36" i="3" s="1"/>
  <c r="C37" i="3" s="1"/>
  <c r="C38" i="3" s="1"/>
  <c r="C39" i="3" s="1"/>
  <c r="C40" i="3" s="1"/>
  <c r="C41" i="3" s="1"/>
  <c r="C42" i="3" s="1"/>
  <c r="R9" i="2"/>
  <c r="R8" i="2"/>
  <c r="I34" i="1"/>
  <c r="I35" i="1"/>
  <c r="I36" i="1"/>
  <c r="I37" i="1"/>
  <c r="I38" i="1"/>
  <c r="I39" i="1"/>
  <c r="I40" i="1"/>
  <c r="I41" i="1"/>
  <c r="I42" i="1"/>
  <c r="I43" i="1"/>
  <c r="I44" i="1"/>
  <c r="I45" i="1"/>
  <c r="I46" i="1"/>
  <c r="I47" i="1"/>
  <c r="I48" i="1"/>
  <c r="I49" i="1"/>
  <c r="I50" i="1"/>
  <c r="I51" i="1"/>
  <c r="I52" i="1"/>
  <c r="I53" i="1"/>
  <c r="I54" i="1"/>
  <c r="I55" i="1"/>
  <c r="I56" i="1"/>
  <c r="I57" i="1"/>
  <c r="I58" i="1"/>
  <c r="C54" i="1"/>
  <c r="C53" i="1"/>
  <c r="C52" i="1"/>
  <c r="C51" i="1"/>
  <c r="C50" i="1"/>
  <c r="C49" i="1"/>
  <c r="C48" i="1"/>
  <c r="C47" i="1"/>
  <c r="C46" i="1"/>
  <c r="C45" i="1"/>
  <c r="C44" i="1"/>
  <c r="C43" i="1"/>
  <c r="C42" i="1"/>
  <c r="C41" i="1"/>
  <c r="C40" i="1"/>
  <c r="C39" i="1"/>
  <c r="C38" i="1"/>
  <c r="C37" i="1"/>
  <c r="C36" i="1"/>
  <c r="C35" i="1"/>
  <c r="C34" i="1"/>
  <c r="C33" i="1"/>
  <c r="C32" i="1"/>
  <c r="C31" i="1"/>
  <c r="C30" i="1"/>
  <c r="N24" i="1"/>
  <c r="M24" i="1"/>
  <c r="N23" i="1"/>
  <c r="M23" i="1"/>
  <c r="N22" i="1"/>
  <c r="M22" i="1"/>
  <c r="N21" i="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 r="M4" i="1"/>
  <c r="N4" i="1"/>
  <c r="N58" i="1"/>
  <c r="N57" i="1"/>
  <c r="N56" i="1"/>
  <c r="N55" i="1"/>
  <c r="N54" i="1"/>
  <c r="N53" i="1"/>
  <c r="N52" i="1"/>
  <c r="N51" i="1"/>
  <c r="N50" i="1"/>
  <c r="N49" i="1"/>
  <c r="N48" i="1"/>
  <c r="N47" i="1"/>
  <c r="N46" i="1"/>
  <c r="N45" i="1"/>
  <c r="N44" i="1"/>
  <c r="N43" i="1"/>
  <c r="N42" i="1"/>
  <c r="N41" i="1"/>
  <c r="N40" i="1"/>
  <c r="N39" i="1"/>
  <c r="N38" i="1"/>
  <c r="N37" i="1"/>
  <c r="N36" i="1"/>
  <c r="N35" i="1"/>
  <c r="N34" i="1"/>
  <c r="H54" i="1"/>
  <c r="H53" i="1"/>
  <c r="H52" i="1"/>
  <c r="H51" i="1"/>
  <c r="H50" i="1"/>
  <c r="H49" i="1"/>
  <c r="H48" i="1"/>
  <c r="H47" i="1"/>
  <c r="H46" i="1"/>
  <c r="H45" i="1"/>
  <c r="H44" i="1"/>
  <c r="H43" i="1"/>
  <c r="H42" i="1"/>
  <c r="H41" i="1"/>
  <c r="H40" i="1"/>
  <c r="H39" i="1"/>
  <c r="H38" i="1"/>
  <c r="H37" i="1"/>
  <c r="H36" i="1"/>
  <c r="H35" i="1"/>
  <c r="H34" i="1"/>
  <c r="H33" i="1"/>
  <c r="H32" i="1"/>
  <c r="H31" i="1"/>
  <c r="H30"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K23" i="1"/>
  <c r="K24" i="1"/>
  <c r="J24" i="1"/>
  <c r="J23" i="1"/>
  <c r="J22" i="1"/>
  <c r="J21" i="1"/>
  <c r="J20" i="1"/>
  <c r="J19" i="1"/>
  <c r="J18" i="1"/>
  <c r="J17" i="1"/>
  <c r="J16" i="1"/>
  <c r="J15" i="1"/>
  <c r="J14" i="1"/>
  <c r="J13" i="1"/>
  <c r="J12" i="1"/>
  <c r="J11" i="1"/>
  <c r="J10" i="1"/>
  <c r="J9" i="1"/>
  <c r="J8" i="1"/>
  <c r="J7" i="1"/>
  <c r="J6" i="1"/>
  <c r="K14" i="1"/>
  <c r="K15" i="1"/>
  <c r="K16" i="1"/>
  <c r="K17" i="1"/>
  <c r="K18" i="1"/>
  <c r="K19" i="1"/>
  <c r="K20" i="1"/>
  <c r="K21" i="1"/>
  <c r="K22" i="1"/>
  <c r="K13" i="1"/>
  <c r="K12" i="1"/>
  <c r="K11" i="1"/>
  <c r="K10" i="1"/>
  <c r="K9" i="1"/>
  <c r="K8" i="1"/>
  <c r="K7" i="1"/>
  <c r="K6" i="1"/>
  <c r="K5" i="1"/>
  <c r="K4" i="1"/>
  <c r="J4" i="1"/>
  <c r="J5" i="1"/>
  <c r="C16" i="1"/>
  <c r="C17" i="1" s="1"/>
  <c r="B16" i="1"/>
  <c r="B17" i="1" s="1"/>
  <c r="B5" i="1"/>
  <c r="A5" i="1"/>
  <c r="B4" i="1"/>
  <c r="A4" i="1"/>
  <c r="B3" i="1"/>
  <c r="A3" i="1"/>
  <c r="S8" i="2" l="1"/>
  <c r="B100" i="2"/>
  <c r="B99" i="2"/>
  <c r="B95" i="2"/>
  <c r="L6" i="1"/>
  <c r="L10" i="1"/>
  <c r="L14" i="1"/>
  <c r="L18" i="1"/>
  <c r="L22" i="1"/>
  <c r="O7" i="1"/>
  <c r="O9" i="1"/>
  <c r="T54" i="1" s="1"/>
  <c r="O11" i="1"/>
  <c r="O13" i="1"/>
  <c r="O15" i="1"/>
  <c r="O17" i="1"/>
  <c r="O19" i="1"/>
  <c r="O21" i="1"/>
  <c r="O23" i="1"/>
  <c r="L7" i="1"/>
  <c r="S54" i="1" s="1"/>
  <c r="L11" i="1"/>
  <c r="L15" i="1"/>
  <c r="L19" i="1"/>
  <c r="L23" i="1"/>
  <c r="L12" i="1"/>
  <c r="S59" i="1" s="1"/>
  <c r="L20" i="1"/>
  <c r="O5" i="1"/>
  <c r="L5" i="1"/>
  <c r="L9" i="1"/>
  <c r="L13" i="1"/>
  <c r="S60" i="1" s="1"/>
  <c r="L17" i="1"/>
  <c r="L21" i="1"/>
  <c r="L8" i="1"/>
  <c r="L16" i="1"/>
  <c r="L24" i="1"/>
  <c r="O6" i="1"/>
  <c r="O8" i="1"/>
  <c r="O10" i="1"/>
  <c r="O12" i="1"/>
  <c r="O14" i="1"/>
  <c r="O16" i="1"/>
  <c r="O18" i="1"/>
  <c r="O20" i="1"/>
  <c r="O22" i="1"/>
  <c r="O24" i="1"/>
  <c r="D4" i="1"/>
  <c r="D3" i="1"/>
  <c r="D5" i="1"/>
  <c r="O34" i="1"/>
  <c r="O38" i="1"/>
  <c r="O42" i="1"/>
  <c r="O46" i="1"/>
  <c r="O50" i="1"/>
  <c r="F26" i="3"/>
  <c r="G26" i="3" s="1"/>
  <c r="W96" i="2" s="1"/>
  <c r="A96" i="2"/>
  <c r="D93" i="2" s="1"/>
  <c r="A100" i="2"/>
  <c r="D97" i="2" s="1"/>
  <c r="A104" i="2"/>
  <c r="D101" i="2" s="1"/>
  <c r="A108" i="2"/>
  <c r="B93" i="2"/>
  <c r="B97" i="2"/>
  <c r="B101" i="2"/>
  <c r="F13" i="15"/>
  <c r="O35" i="1"/>
  <c r="O39" i="1"/>
  <c r="O43" i="1"/>
  <c r="O47" i="1"/>
  <c r="O51" i="1"/>
  <c r="G6" i="3"/>
  <c r="F27" i="3"/>
  <c r="G27" i="3" s="1"/>
  <c r="W97" i="2" s="1"/>
  <c r="A97" i="2"/>
  <c r="A101" i="2"/>
  <c r="D98" i="2" s="1"/>
  <c r="A105" i="2"/>
  <c r="D102" i="2" s="1"/>
  <c r="A109" i="2"/>
  <c r="D106" i="2" s="1"/>
  <c r="B94" i="2"/>
  <c r="B98" i="2"/>
  <c r="B102" i="2"/>
  <c r="O36" i="1"/>
  <c r="O40" i="1"/>
  <c r="O44" i="1"/>
  <c r="O48" i="1"/>
  <c r="O52" i="1"/>
  <c r="G7" i="3"/>
  <c r="A94" i="2"/>
  <c r="A98" i="2"/>
  <c r="D95" i="2" s="1"/>
  <c r="A102" i="2"/>
  <c r="D99" i="2" s="1"/>
  <c r="A106" i="2"/>
  <c r="A110" i="2"/>
  <c r="D107" i="2" s="1"/>
  <c r="O37" i="1"/>
  <c r="O41" i="1"/>
  <c r="O45" i="1"/>
  <c r="O49" i="1"/>
  <c r="O53" i="1"/>
  <c r="F25" i="3"/>
  <c r="G25" i="3" s="1"/>
  <c r="A95" i="2"/>
  <c r="A99" i="2"/>
  <c r="D96" i="2" s="1"/>
  <c r="A103" i="2"/>
  <c r="D100" i="2" s="1"/>
  <c r="A107" i="2"/>
  <c r="D104" i="2" s="1"/>
  <c r="B96" i="2"/>
  <c r="E6" i="7"/>
  <c r="D3" i="17"/>
  <c r="D8" i="17" s="1"/>
  <c r="E7" i="17"/>
  <c r="E3" i="17"/>
  <c r="E6" i="17"/>
  <c r="D6" i="7"/>
  <c r="D7" i="7"/>
  <c r="D3" i="7" s="1"/>
  <c r="D8" i="7" s="1"/>
  <c r="D13" i="7"/>
  <c r="D14" i="7"/>
  <c r="D10" i="7" s="1"/>
  <c r="D15" i="7" s="1"/>
  <c r="E10" i="7" s="1"/>
  <c r="E15" i="7"/>
  <c r="A21" i="2"/>
  <c r="K21" i="2" s="1"/>
  <c r="D94" i="2"/>
  <c r="D103" i="2"/>
  <c r="D105" i="2"/>
  <c r="B7" i="3"/>
  <c r="G8" i="3" s="1"/>
  <c r="S51" i="2"/>
  <c r="U51" i="2" s="1"/>
  <c r="S52" i="2"/>
  <c r="U52" i="2" s="1"/>
  <c r="S53" i="2"/>
  <c r="U53" i="2" s="1"/>
  <c r="S54" i="2"/>
  <c r="U54" i="2" s="1"/>
  <c r="S55" i="2"/>
  <c r="U55" i="2" s="1"/>
  <c r="S56" i="2"/>
  <c r="U56" i="2" s="1"/>
  <c r="AA56" i="2" s="1"/>
  <c r="S57" i="2"/>
  <c r="U57" i="2" s="1"/>
  <c r="AA57" i="2" s="1"/>
  <c r="S58" i="2"/>
  <c r="U58" i="2" s="1"/>
  <c r="AA58" i="2" s="1"/>
  <c r="S59" i="2"/>
  <c r="U59" i="2" s="1"/>
  <c r="AA59" i="2" s="1"/>
  <c r="S60" i="2"/>
  <c r="U60" i="2" s="1"/>
  <c r="AA60" i="2" s="1"/>
  <c r="S61" i="2"/>
  <c r="U61" i="2" s="1"/>
  <c r="AA61" i="2" s="1"/>
  <c r="S62" i="2"/>
  <c r="U62" i="2" s="1"/>
  <c r="AA62" i="2" s="1"/>
  <c r="S63" i="2"/>
  <c r="U63" i="2" s="1"/>
  <c r="AA63" i="2" s="1"/>
  <c r="S64" i="2"/>
  <c r="U64" i="2" s="1"/>
  <c r="AA64" i="2" s="1"/>
  <c r="S65" i="2"/>
  <c r="U65" i="2" s="1"/>
  <c r="AA65" i="2" s="1"/>
  <c r="S66" i="2"/>
  <c r="U66" i="2" s="1"/>
  <c r="AA66" i="2" s="1"/>
  <c r="S67" i="2"/>
  <c r="U67" i="2" s="1"/>
  <c r="AA67" i="2" s="1"/>
  <c r="U50" i="2"/>
  <c r="AD62" i="2"/>
  <c r="Q9" i="2"/>
  <c r="F80" i="2" s="1"/>
  <c r="L80" i="2" s="1"/>
  <c r="A22" i="2"/>
  <c r="K22" i="2" s="1"/>
  <c r="A23" i="2"/>
  <c r="K23" i="2" s="1"/>
  <c r="A24" i="2"/>
  <c r="K24" i="2" s="1"/>
  <c r="A25" i="2"/>
  <c r="K25" i="2" s="1"/>
  <c r="A26" i="2"/>
  <c r="K26" i="2" s="1"/>
  <c r="A27" i="2"/>
  <c r="K27" i="2" s="1"/>
  <c r="A28" i="2"/>
  <c r="K28" i="2" s="1"/>
  <c r="A29" i="2"/>
  <c r="K29" i="2" s="1"/>
  <c r="A30" i="2"/>
  <c r="K30" i="2" s="1"/>
  <c r="A31" i="2"/>
  <c r="K31" i="2" s="1"/>
  <c r="A32" i="2"/>
  <c r="K32" i="2" s="1"/>
  <c r="A33" i="2"/>
  <c r="K33" i="2" s="1"/>
  <c r="A34" i="2"/>
  <c r="K34" i="2" s="1"/>
  <c r="A35" i="2"/>
  <c r="K35" i="2" s="1"/>
  <c r="A36" i="2"/>
  <c r="K36" i="2" s="1"/>
  <c r="A37" i="2"/>
  <c r="K37" i="2" s="1"/>
  <c r="A38" i="2"/>
  <c r="K38" i="2" s="1"/>
  <c r="A39" i="2"/>
  <c r="K39" i="2" s="1"/>
  <c r="A40" i="2"/>
  <c r="K40" i="2" s="1"/>
  <c r="A41" i="2"/>
  <c r="K41" i="2" s="1"/>
  <c r="A42" i="2"/>
  <c r="K42" i="2" s="1"/>
  <c r="A43" i="2"/>
  <c r="K43" i="2" s="1"/>
  <c r="A44" i="2"/>
  <c r="K44" i="2" s="1"/>
  <c r="A45" i="2"/>
  <c r="K45" i="2" s="1"/>
  <c r="A46" i="2"/>
  <c r="K46" i="2" s="1"/>
  <c r="A47" i="2"/>
  <c r="K47" i="2" s="1"/>
  <c r="A48" i="2"/>
  <c r="K48" i="2" s="1"/>
  <c r="A49" i="2"/>
  <c r="K49" i="2" s="1"/>
  <c r="A50" i="2"/>
  <c r="K50" i="2" s="1"/>
  <c r="A51" i="2"/>
  <c r="K51" i="2" s="1"/>
  <c r="A52" i="2"/>
  <c r="K52" i="2" s="1"/>
  <c r="A53" i="2"/>
  <c r="K53" i="2" s="1"/>
  <c r="A54" i="2"/>
  <c r="K54" i="2" s="1"/>
  <c r="A55" i="2"/>
  <c r="K55" i="2" s="1"/>
  <c r="A56" i="2"/>
  <c r="K56" i="2" s="1"/>
  <c r="A57" i="2"/>
  <c r="K57" i="2" s="1"/>
  <c r="A58" i="2"/>
  <c r="K58" i="2" s="1"/>
  <c r="A59" i="2"/>
  <c r="K59" i="2" s="1"/>
  <c r="A60" i="2"/>
  <c r="K60" i="2" s="1"/>
  <c r="A61" i="2"/>
  <c r="K61" i="2" s="1"/>
  <c r="A62" i="2"/>
  <c r="K62" i="2" s="1"/>
  <c r="A63" i="2"/>
  <c r="K63" i="2" s="1"/>
  <c r="A64" i="2"/>
  <c r="K64" i="2" s="1"/>
  <c r="A65" i="2"/>
  <c r="K65" i="2" s="1"/>
  <c r="A66" i="2"/>
  <c r="K66" i="2" s="1"/>
  <c r="A67" i="2"/>
  <c r="K67" i="2" s="1"/>
  <c r="A68" i="2"/>
  <c r="K68" i="2" s="1"/>
  <c r="A69" i="2"/>
  <c r="K69" i="2" s="1"/>
  <c r="A70" i="2"/>
  <c r="K70" i="2" s="1"/>
  <c r="A71" i="2"/>
  <c r="K71" i="2" s="1"/>
  <c r="A72" i="2"/>
  <c r="K72" i="2" s="1"/>
  <c r="A73" i="2"/>
  <c r="K73" i="2" s="1"/>
  <c r="A74" i="2"/>
  <c r="K74" i="2" s="1"/>
  <c r="A75" i="2"/>
  <c r="K75" i="2" s="1"/>
  <c r="A76" i="2"/>
  <c r="K76" i="2" s="1"/>
  <c r="A77" i="2"/>
  <c r="K77" i="2" s="1"/>
  <c r="A78" i="2"/>
  <c r="K78" i="2" s="1"/>
  <c r="A79" i="2"/>
  <c r="K79" i="2" s="1"/>
  <c r="A80" i="2"/>
  <c r="K80" i="2" s="1"/>
  <c r="D27" i="3"/>
  <c r="S40" i="1" l="1"/>
  <c r="S55" i="1"/>
  <c r="S43" i="1"/>
  <c r="S58" i="1"/>
  <c r="T42" i="1"/>
  <c r="T57" i="1"/>
  <c r="T43" i="1"/>
  <c r="T58" i="1"/>
  <c r="T41" i="1"/>
  <c r="T56" i="1"/>
  <c r="S42" i="1"/>
  <c r="S57" i="1"/>
  <c r="T40" i="1"/>
  <c r="T55" i="1"/>
  <c r="S41" i="1"/>
  <c r="S56" i="1"/>
  <c r="E8" i="17"/>
  <c r="E98" i="2"/>
  <c r="E97" i="2"/>
  <c r="E96" i="2"/>
  <c r="E95" i="2"/>
  <c r="E94" i="2"/>
  <c r="E93" i="2"/>
  <c r="F93" i="2"/>
  <c r="F94" i="2"/>
  <c r="F95" i="2"/>
  <c r="F96" i="2"/>
  <c r="T67" i="2"/>
  <c r="V67" i="2" s="1"/>
  <c r="AB67" i="2" s="1"/>
  <c r="T66" i="2"/>
  <c r="V66" i="2" s="1"/>
  <c r="AB66" i="2" s="1"/>
  <c r="T65" i="2"/>
  <c r="V65" i="2" s="1"/>
  <c r="AB65" i="2" s="1"/>
  <c r="T64" i="2"/>
  <c r="V64" i="2" s="1"/>
  <c r="AB64" i="2" s="1"/>
  <c r="T63" i="2"/>
  <c r="V63" i="2" s="1"/>
  <c r="AB63" i="2" s="1"/>
  <c r="T62" i="2"/>
  <c r="V62" i="2" s="1"/>
  <c r="AB62" i="2" s="1"/>
  <c r="T61" i="2"/>
  <c r="V61" i="2" s="1"/>
  <c r="AB61" i="2" s="1"/>
  <c r="T60" i="2"/>
  <c r="V60" i="2" s="1"/>
  <c r="AB60" i="2" s="1"/>
  <c r="T59" i="2"/>
  <c r="V59" i="2" s="1"/>
  <c r="AB59" i="2" s="1"/>
  <c r="T58" i="2"/>
  <c r="V58" i="2" s="1"/>
  <c r="AB58" i="2" s="1"/>
  <c r="T57" i="2"/>
  <c r="V57" i="2" s="1"/>
  <c r="AB57" i="2" s="1"/>
  <c r="T56" i="2"/>
  <c r="V56" i="2" s="1"/>
  <c r="AB56" i="2" s="1"/>
  <c r="T55" i="2"/>
  <c r="V55" i="2" s="1"/>
  <c r="AB55" i="2" s="1"/>
  <c r="T54" i="2"/>
  <c r="V54" i="2" s="1"/>
  <c r="AB54" i="2" s="1"/>
  <c r="T53" i="2"/>
  <c r="V53" i="2" s="1"/>
  <c r="AB53" i="2" s="1"/>
  <c r="T52" i="2"/>
  <c r="V52" i="2" s="1"/>
  <c r="AB52" i="2" s="1"/>
  <c r="T51" i="2"/>
  <c r="V51" i="2" s="1"/>
  <c r="AB51" i="2" s="1"/>
  <c r="T50" i="2"/>
  <c r="V50" i="2" s="1"/>
  <c r="AB50" i="2" s="1"/>
  <c r="B8" i="3"/>
  <c r="G9" i="3" s="1"/>
  <c r="AC54" i="2"/>
  <c r="AA55" i="2"/>
  <c r="AA54" i="2"/>
  <c r="AA53" i="2"/>
  <c r="AA52" i="2"/>
  <c r="AA51" i="2"/>
  <c r="AA50" i="2"/>
  <c r="F21" i="2"/>
  <c r="L21" i="2" s="1"/>
  <c r="F22" i="2"/>
  <c r="L22" i="2" s="1"/>
  <c r="F23" i="2"/>
  <c r="L23" i="2" s="1"/>
  <c r="F24" i="2"/>
  <c r="L24" i="2" s="1"/>
  <c r="F25" i="2"/>
  <c r="L25" i="2" s="1"/>
  <c r="F26" i="2"/>
  <c r="L26" i="2" s="1"/>
  <c r="F27" i="2"/>
  <c r="L27" i="2" s="1"/>
  <c r="F28" i="2"/>
  <c r="L28" i="2" s="1"/>
  <c r="F29" i="2"/>
  <c r="L29" i="2" s="1"/>
  <c r="F30" i="2"/>
  <c r="L30" i="2" s="1"/>
  <c r="F31" i="2"/>
  <c r="L31" i="2" s="1"/>
  <c r="F32" i="2"/>
  <c r="L32" i="2" s="1"/>
  <c r="F33" i="2"/>
  <c r="L33" i="2" s="1"/>
  <c r="F34" i="2"/>
  <c r="L34" i="2" s="1"/>
  <c r="F35" i="2"/>
  <c r="L35" i="2" s="1"/>
  <c r="F36" i="2"/>
  <c r="L36" i="2" s="1"/>
  <c r="F37" i="2"/>
  <c r="L37" i="2" s="1"/>
  <c r="F38" i="2"/>
  <c r="L38" i="2" s="1"/>
  <c r="F39" i="2"/>
  <c r="L39" i="2" s="1"/>
  <c r="F40" i="2"/>
  <c r="L40" i="2" s="1"/>
  <c r="F41" i="2"/>
  <c r="L41" i="2" s="1"/>
  <c r="F42" i="2"/>
  <c r="L42" i="2" s="1"/>
  <c r="F43" i="2"/>
  <c r="L43" i="2" s="1"/>
  <c r="F44" i="2"/>
  <c r="L44" i="2" s="1"/>
  <c r="F45" i="2"/>
  <c r="L45" i="2" s="1"/>
  <c r="F46" i="2"/>
  <c r="L46" i="2" s="1"/>
  <c r="F47" i="2"/>
  <c r="L47" i="2" s="1"/>
  <c r="F48" i="2"/>
  <c r="L48" i="2" s="1"/>
  <c r="F49" i="2"/>
  <c r="L49" i="2" s="1"/>
  <c r="F50" i="2"/>
  <c r="L50" i="2" s="1"/>
  <c r="F51" i="2"/>
  <c r="L51" i="2" s="1"/>
  <c r="F52" i="2"/>
  <c r="L52" i="2" s="1"/>
  <c r="F53" i="2"/>
  <c r="L53" i="2" s="1"/>
  <c r="F54" i="2"/>
  <c r="L54" i="2" s="1"/>
  <c r="F55" i="2"/>
  <c r="L55" i="2" s="1"/>
  <c r="F56" i="2"/>
  <c r="L56" i="2" s="1"/>
  <c r="F57" i="2"/>
  <c r="L57" i="2" s="1"/>
  <c r="F58" i="2"/>
  <c r="L58" i="2" s="1"/>
  <c r="F59" i="2"/>
  <c r="L59" i="2" s="1"/>
  <c r="F60" i="2"/>
  <c r="L60" i="2" s="1"/>
  <c r="F61" i="2"/>
  <c r="L61" i="2" s="1"/>
  <c r="F62" i="2"/>
  <c r="L62" i="2" s="1"/>
  <c r="F63" i="2"/>
  <c r="L63" i="2" s="1"/>
  <c r="F64" i="2"/>
  <c r="L64" i="2" s="1"/>
  <c r="F65" i="2"/>
  <c r="L65" i="2" s="1"/>
  <c r="F66" i="2"/>
  <c r="L66" i="2" s="1"/>
  <c r="F67" i="2"/>
  <c r="L67" i="2" s="1"/>
  <c r="F68" i="2"/>
  <c r="L68" i="2" s="1"/>
  <c r="F69" i="2"/>
  <c r="L69" i="2" s="1"/>
  <c r="F70" i="2"/>
  <c r="L70" i="2" s="1"/>
  <c r="F71" i="2"/>
  <c r="L71" i="2" s="1"/>
  <c r="F72" i="2"/>
  <c r="L72" i="2" s="1"/>
  <c r="F73" i="2"/>
  <c r="L73" i="2" s="1"/>
  <c r="F74" i="2"/>
  <c r="L74" i="2" s="1"/>
  <c r="F75" i="2"/>
  <c r="L75" i="2" s="1"/>
  <c r="F76" i="2"/>
  <c r="L76" i="2" s="1"/>
  <c r="F77" i="2"/>
  <c r="L77" i="2" s="1"/>
  <c r="F78" i="2"/>
  <c r="L78" i="2" s="1"/>
  <c r="F79" i="2"/>
  <c r="L79" i="2" s="1"/>
  <c r="D28" i="3"/>
  <c r="F28" i="3" s="1"/>
  <c r="G28" i="3" s="1"/>
  <c r="W98" i="2" s="1"/>
  <c r="AC53" i="2" l="1"/>
  <c r="AC51" i="2"/>
  <c r="AC52" i="2"/>
  <c r="AC50" i="2"/>
  <c r="B9" i="3"/>
  <c r="G10" i="3" s="1"/>
  <c r="D29" i="3"/>
  <c r="F29" i="3" s="1"/>
  <c r="G29" i="3" s="1"/>
  <c r="W99" i="2" l="1"/>
  <c r="C44" i="3"/>
  <c r="B10" i="3"/>
  <c r="G11" i="3" s="1"/>
  <c r="D30" i="3"/>
  <c r="F30" i="3" s="1"/>
  <c r="G30" i="3" s="1"/>
  <c r="W100" i="2" s="1"/>
  <c r="C45" i="3" l="1"/>
  <c r="C43" i="3"/>
  <c r="F44" i="3"/>
  <c r="G44" i="3" s="1"/>
  <c r="B11" i="3"/>
  <c r="G12" i="3" s="1"/>
  <c r="D31" i="3"/>
  <c r="F31" i="3" s="1"/>
  <c r="G31" i="3" s="1"/>
  <c r="C46" i="3" l="1"/>
  <c r="F45" i="3"/>
  <c r="G45" i="3" s="1"/>
  <c r="B12" i="3"/>
  <c r="G13" i="3" s="1"/>
  <c r="D32" i="3"/>
  <c r="F32" i="3" s="1"/>
  <c r="G32" i="3" s="1"/>
  <c r="F46" i="3" l="1"/>
  <c r="G46" i="3" s="1"/>
  <c r="C47" i="3"/>
  <c r="B13" i="3"/>
  <c r="G14" i="3" s="1"/>
  <c r="D33" i="3"/>
  <c r="F33" i="3" s="1"/>
  <c r="G33" i="3" s="1"/>
  <c r="F47" i="3" l="1"/>
  <c r="G47" i="3" s="1"/>
  <c r="C48" i="3"/>
  <c r="B14" i="3"/>
  <c r="G15" i="3" s="1"/>
  <c r="D34" i="3"/>
  <c r="F34" i="3" s="1"/>
  <c r="G34" i="3" s="1"/>
  <c r="F48" i="3" l="1"/>
  <c r="G48" i="3" s="1"/>
  <c r="C49" i="3"/>
  <c r="B15" i="3"/>
  <c r="G16" i="3" s="1"/>
  <c r="D35" i="3"/>
  <c r="F35" i="3" s="1"/>
  <c r="G35" i="3" s="1"/>
  <c r="C50" i="3" l="1"/>
  <c r="F49" i="3"/>
  <c r="G49" i="3" s="1"/>
  <c r="B16" i="3"/>
  <c r="G17" i="3" s="1"/>
  <c r="D36" i="3"/>
  <c r="F36" i="3" s="1"/>
  <c r="G36" i="3" s="1"/>
  <c r="F50" i="3" l="1"/>
  <c r="G50" i="3" s="1"/>
  <c r="C51" i="3"/>
  <c r="B17" i="3"/>
  <c r="G18" i="3" s="1"/>
  <c r="D37" i="3"/>
  <c r="F37" i="3" s="1"/>
  <c r="G37" i="3" s="1"/>
  <c r="F51" i="3" l="1"/>
  <c r="G51" i="3" s="1"/>
  <c r="C52" i="3"/>
  <c r="B18" i="3"/>
  <c r="G19" i="3" s="1"/>
  <c r="D38" i="3"/>
  <c r="F38" i="3" s="1"/>
  <c r="G38" i="3" s="1"/>
  <c r="C53" i="3" l="1"/>
  <c r="F52" i="3"/>
  <c r="G52" i="3" s="1"/>
  <c r="B19" i="3"/>
  <c r="G20" i="3" s="1"/>
  <c r="D39" i="3"/>
  <c r="F39" i="3" s="1"/>
  <c r="G39" i="3" s="1"/>
  <c r="C54" i="3" l="1"/>
  <c r="F53" i="3"/>
  <c r="G53" i="3" s="1"/>
  <c r="B20" i="3"/>
  <c r="G21" i="3" s="1"/>
  <c r="D40" i="3"/>
  <c r="F40" i="3" s="1"/>
  <c r="G40" i="3" s="1"/>
  <c r="C55" i="3" l="1"/>
  <c r="F54" i="3"/>
  <c r="G54" i="3" s="1"/>
  <c r="B21" i="3"/>
  <c r="G22" i="3" s="1"/>
  <c r="D41" i="3"/>
  <c r="F41" i="3" s="1"/>
  <c r="G41" i="3" s="1"/>
  <c r="C56" i="3" l="1"/>
  <c r="F55" i="3"/>
  <c r="G55" i="3" s="1"/>
  <c r="B22" i="3"/>
  <c r="D42" i="3"/>
  <c r="F42" i="3" s="1"/>
  <c r="G42" i="3" s="1"/>
  <c r="E3" i="7"/>
  <c r="C57" i="3" l="1"/>
  <c r="F56" i="3"/>
  <c r="G56" i="3" s="1"/>
  <c r="E8" i="7"/>
  <c r="C58" i="3" l="1"/>
  <c r="F57" i="3"/>
  <c r="G57" i="3" s="1"/>
  <c r="C59" i="3" l="1"/>
  <c r="F58" i="3"/>
  <c r="G58" i="3" s="1"/>
  <c r="C60" i="3" l="1"/>
  <c r="F59" i="3"/>
  <c r="G59" i="3" s="1"/>
  <c r="C61" i="3" l="1"/>
  <c r="F60" i="3"/>
  <c r="G60" i="3" s="1"/>
  <c r="C62" i="3" l="1"/>
  <c r="F62" i="3" s="1"/>
  <c r="G62" i="3" s="1"/>
  <c r="F61" i="3"/>
  <c r="G61" i="3" s="1"/>
</calcChain>
</file>

<file path=xl/comments1.xml><?xml version="1.0" encoding="utf-8"?>
<comments xmlns="http://schemas.openxmlformats.org/spreadsheetml/2006/main">
  <authors>
    <author>caffera</author>
    <author>UDM</author>
  </authors>
  <commentList>
    <comment ref="C29" authorId="0">
      <text>
        <r>
          <rPr>
            <b/>
            <sz val="8"/>
            <color indexed="81"/>
            <rFont val="Tahoma"/>
            <family val="2"/>
          </rPr>
          <t>caffera:</t>
        </r>
        <r>
          <rPr>
            <sz val="8"/>
            <color indexed="81"/>
            <rFont val="Tahoma"/>
            <family val="2"/>
          </rPr>
          <t xml:space="preserve">
Esto es, la DAP a pagar más alta que existe en el mercado, dado por el o los individuos con ella. Adoptamos la convención de que DAP en q=0, es decir la DAP por la primera unidad, está dada por BM(1). Es una convención porque en realidad es algo en el medio (el incremento en los beneficios es 17,5). Entonces, no va a ser 18, va a ser 17,5. Pero por alguna estúpida razón se toma 17, que es la DAP  en 1.</t>
        </r>
      </text>
    </comment>
    <comment ref="A35" authorId="0">
      <text>
        <r>
          <rPr>
            <b/>
            <sz val="8"/>
            <color indexed="81"/>
            <rFont val="Tahoma"/>
            <family val="2"/>
          </rPr>
          <t>caffera:</t>
        </r>
        <r>
          <rPr>
            <sz val="8"/>
            <color indexed="81"/>
            <rFont val="Tahoma"/>
            <family val="2"/>
          </rPr>
          <t xml:space="preserve">
Este es el promedio de ls disposiciones a pagar. En este punto hay 3 empresas que tienen un permiso en su poder y una que tiene 2. Las que tienen 1 tienen una DAP de 17 y la que tiene 2 tiene una DAP de 16. El promedio de 17*3+16 es 16,75</t>
        </r>
      </text>
    </comment>
    <comment ref="G66" authorId="1">
      <text>
        <r>
          <rPr>
            <b/>
            <sz val="9"/>
            <color indexed="81"/>
            <rFont val="Tahoma"/>
            <family val="2"/>
          </rPr>
          <t>UDM:</t>
        </r>
        <r>
          <rPr>
            <sz val="9"/>
            <color indexed="81"/>
            <rFont val="Tahoma"/>
            <family val="2"/>
          </rPr>
          <t xml:space="preserve">
LE VEO LA INTUICIÓN  A CORRER LA OFERTA UNO PARA ABAJO, PERO NO A CORRER LA DEMANDA DOS PARA ARRIBA</t>
        </r>
      </text>
    </comment>
  </commentList>
</comments>
</file>

<file path=xl/comments2.xml><?xml version="1.0" encoding="utf-8"?>
<comments xmlns="http://schemas.openxmlformats.org/spreadsheetml/2006/main">
  <authors>
    <author>UDM</author>
  </authors>
  <commentList>
    <comment ref="Q7" authorId="0">
      <text>
        <r>
          <rPr>
            <b/>
            <sz val="9"/>
            <color indexed="81"/>
            <rFont val="Tahoma"/>
            <family val="2"/>
          </rPr>
          <t>UDM:</t>
        </r>
        <r>
          <rPr>
            <sz val="9"/>
            <color indexed="81"/>
            <rFont val="Tahoma"/>
            <family val="2"/>
          </rPr>
          <t xml:space="preserve">
ESTO ESTÁ BIEN????</t>
        </r>
      </text>
    </comment>
    <comment ref="A33" authorId="0">
      <text>
        <r>
          <rPr>
            <b/>
            <sz val="9"/>
            <color indexed="81"/>
            <rFont val="Tahoma"/>
            <family val="2"/>
          </rPr>
          <t>UDM:</t>
        </r>
        <r>
          <rPr>
            <sz val="9"/>
            <color indexed="81"/>
            <rFont val="Tahoma"/>
            <family val="2"/>
          </rPr>
          <t xml:space="preserve">
John dijo que lo hagamos al revés. Empecemos con violaciones y pasemos a perfecto cumplimiento
</t>
        </r>
      </text>
    </comment>
    <comment ref="B58" authorId="0">
      <text>
        <r>
          <rPr>
            <b/>
            <sz val="9"/>
            <color indexed="81"/>
            <rFont val="Tahoma"/>
            <family val="2"/>
          </rPr>
          <t>UDM:</t>
        </r>
        <r>
          <rPr>
            <sz val="9"/>
            <color indexed="81"/>
            <rFont val="Tahoma"/>
            <family val="2"/>
          </rPr>
          <t xml:space="preserve">
LE VEO LA INTUICIÓN  A CORRER LA OFERTA UNO PARA ABAJO, PERO NO A CORRER LA DEMANDA DOS PARA ARRIBA</t>
        </r>
      </text>
    </comment>
  </commentList>
</comments>
</file>

<file path=xl/comments3.xml><?xml version="1.0" encoding="utf-8"?>
<comments xmlns="http://schemas.openxmlformats.org/spreadsheetml/2006/main">
  <authors>
    <author>caffera</author>
  </authors>
  <commentList>
    <comment ref="C29" authorId="0">
      <text>
        <r>
          <rPr>
            <b/>
            <sz val="8"/>
            <color indexed="81"/>
            <rFont val="Tahoma"/>
            <family val="2"/>
          </rPr>
          <t>caffera:</t>
        </r>
        <r>
          <rPr>
            <sz val="8"/>
            <color indexed="81"/>
            <rFont val="Tahoma"/>
            <family val="2"/>
          </rPr>
          <t xml:space="preserve">
Esto es, la DAP a pagar más alta que existe en el mercado, dado por el o los individuos con ella. Adoptamos la convención de que DAP en q=0, es decir la DAP por la primera unidad, está dada por BM(1). Es una convención porque en realidad es algo en el medio (el incremento en los beneficios es 17,5). Entonces, no va a ser 18, va a ser 17,5. Pero por alguna estúpida razón se toma 17, que es la DAP  en 1.</t>
        </r>
      </text>
    </comment>
    <comment ref="A35" authorId="0">
      <text>
        <r>
          <rPr>
            <b/>
            <sz val="8"/>
            <color indexed="81"/>
            <rFont val="Tahoma"/>
            <family val="2"/>
          </rPr>
          <t>caffera:</t>
        </r>
        <r>
          <rPr>
            <sz val="8"/>
            <color indexed="81"/>
            <rFont val="Tahoma"/>
            <family val="2"/>
          </rPr>
          <t xml:space="preserve">
Este es el promedio de ls disposiciones a pagar. En este punto hay 3 empresas que tienen un permiso en su poder y una que tiene 2. Las que tienen 1 tienen una DAP de 17 y la que tiene 2 tiene una DAP de 16. El promedio de 17*3+16 es 16,75</t>
        </r>
      </text>
    </comment>
  </commentList>
</comments>
</file>

<file path=xl/comments4.xml><?xml version="1.0" encoding="utf-8"?>
<comments xmlns="http://schemas.openxmlformats.org/spreadsheetml/2006/main">
  <authors>
    <author>caffera</author>
  </authors>
  <commentList>
    <comment ref="E13" authorId="0">
      <text>
        <r>
          <rPr>
            <b/>
            <sz val="8"/>
            <color indexed="81"/>
            <rFont val="Tahoma"/>
            <family val="2"/>
          </rPr>
          <t>caffera:</t>
        </r>
        <r>
          <rPr>
            <sz val="8"/>
            <color indexed="81"/>
            <rFont val="Tahoma"/>
            <family val="2"/>
          </rPr>
          <t xml:space="preserve">
No tiene sentido. Debería ser 0.</t>
        </r>
      </text>
    </comment>
    <comment ref="F14" authorId="0">
      <text>
        <r>
          <rPr>
            <b/>
            <sz val="8"/>
            <color indexed="81"/>
            <rFont val="Tahoma"/>
            <family val="2"/>
          </rPr>
          <t>caffera:</t>
        </r>
        <r>
          <rPr>
            <sz val="8"/>
            <color indexed="81"/>
            <rFont val="Tahoma"/>
            <family val="2"/>
          </rPr>
          <t xml:space="preserve">
No tiene sentido. No está violando. Debería ser cero.</t>
        </r>
      </text>
    </comment>
    <comment ref="B22" authorId="0">
      <text>
        <r>
          <rPr>
            <b/>
            <sz val="8"/>
            <color indexed="81"/>
            <rFont val="Tahoma"/>
            <family val="2"/>
          </rPr>
          <t>caffera:</t>
        </r>
        <r>
          <rPr>
            <sz val="8"/>
            <color indexed="81"/>
            <rFont val="Tahoma"/>
            <family val="2"/>
          </rPr>
          <t xml:space="preserve">
Las H emiten 12. La ultima unidad donde el BM (6) es mayor al CME (EMP = 5,2). Si emiten 13, BM=5&lt;EMP=5,7</t>
        </r>
      </text>
    </comment>
  </commentList>
</comments>
</file>

<file path=xl/comments5.xml><?xml version="1.0" encoding="utf-8"?>
<comments xmlns="http://schemas.openxmlformats.org/spreadsheetml/2006/main">
  <authors>
    <author>caffera</author>
  </authors>
  <commentList>
    <comment ref="C29" authorId="0">
      <text>
        <r>
          <rPr>
            <b/>
            <sz val="8"/>
            <color indexed="81"/>
            <rFont val="Tahoma"/>
            <family val="2"/>
          </rPr>
          <t>caffera:</t>
        </r>
        <r>
          <rPr>
            <sz val="8"/>
            <color indexed="81"/>
            <rFont val="Tahoma"/>
            <family val="2"/>
          </rPr>
          <t xml:space="preserve">
Esto es, la DAP a pagar más alta que existe en el mercado, dado por el o los individuos con ella. Adoptamos la convención de que DAP en q=0, es decir la DAP por la primera unidad, está dada por BM(1). Es una convención porque en realidad es algo en el medio (el incremento en los beneficios es 17,5). Entonces, no va a ser 18, va a ser 17,5. Pero por alguna estúpida razón se toma 17, que es la DAP  en 1.</t>
        </r>
      </text>
    </comment>
    <comment ref="A35" authorId="0">
      <text>
        <r>
          <rPr>
            <b/>
            <sz val="8"/>
            <color indexed="81"/>
            <rFont val="Tahoma"/>
            <family val="2"/>
          </rPr>
          <t>caffera:</t>
        </r>
        <r>
          <rPr>
            <sz val="8"/>
            <color indexed="81"/>
            <rFont val="Tahoma"/>
            <family val="2"/>
          </rPr>
          <t xml:space="preserve">
Este es el promedio de ls disposiciones a pagar. En este punto hay 3 empresas que tienen un permiso en su poder y una que tiene 2. Las que tienen 1 tienen una DAP de 17 y la que tiene 2 tiene una DAP de 16. El promedio de 17*3+16 es 16,75</t>
        </r>
      </text>
    </comment>
  </commentList>
</comments>
</file>

<file path=xl/sharedStrings.xml><?xml version="1.0" encoding="utf-8"?>
<sst xmlns="http://schemas.openxmlformats.org/spreadsheetml/2006/main" count="1263" uniqueCount="257">
  <si>
    <t>qh</t>
  </si>
  <si>
    <t>qL</t>
  </si>
  <si>
    <t>p</t>
  </si>
  <si>
    <t>Q</t>
  </si>
  <si>
    <t>Q demandado</t>
  </si>
  <si>
    <t xml:space="preserve">L=28, </t>
  </si>
  <si>
    <t>qh1</t>
  </si>
  <si>
    <t>qh2</t>
  </si>
  <si>
    <t>qh3</t>
  </si>
  <si>
    <t>qh4</t>
  </si>
  <si>
    <t>ql1</t>
  </si>
  <si>
    <t>ql2</t>
  </si>
  <si>
    <t>ql3</t>
  </si>
  <si>
    <t>ql4</t>
  </si>
  <si>
    <t>4*(18-p)+4*(9-p/2)=Q</t>
  </si>
  <si>
    <t>18-p+9-p/2=Q/4</t>
  </si>
  <si>
    <t>27-Q/4=p*3/2</t>
  </si>
  <si>
    <t>p=(27-Q/4)*2/3</t>
  </si>
  <si>
    <t>Beneficio</t>
  </si>
  <si>
    <t>q</t>
  </si>
  <si>
    <t>B. Marginal</t>
  </si>
  <si>
    <t>Produccion</t>
  </si>
  <si>
    <t>18q-q2/2</t>
  </si>
  <si>
    <t>18-q</t>
  </si>
  <si>
    <t>Demanda de permisos de las empresas H</t>
  </si>
  <si>
    <t>P=18-Q/4</t>
  </si>
  <si>
    <t>4*qH =&gt;</t>
  </si>
  <si>
    <t>P</t>
  </si>
  <si>
    <t>qH1</t>
  </si>
  <si>
    <t>qH2</t>
  </si>
  <si>
    <t>QH</t>
  </si>
  <si>
    <t>Demanda de permisos de las empresas L</t>
  </si>
  <si>
    <t>q1L</t>
  </si>
  <si>
    <t>q2L</t>
  </si>
  <si>
    <t>q3L</t>
  </si>
  <si>
    <t>q4L</t>
  </si>
  <si>
    <t>QL</t>
  </si>
  <si>
    <t>High</t>
  </si>
  <si>
    <t>Low</t>
  </si>
  <si>
    <t>18-2q</t>
  </si>
  <si>
    <t>18q-q2</t>
  </si>
  <si>
    <t>Min DAC</t>
  </si>
  <si>
    <t>QH+QL</t>
  </si>
  <si>
    <t>max DAP (emp. 4)</t>
  </si>
  <si>
    <t>min DAC (emp.1)</t>
  </si>
  <si>
    <t>l sub i = q sub i - 1/gama*(p/pi-fi)</t>
  </si>
  <si>
    <t>pi = 0,35</t>
  </si>
  <si>
    <t>gama = 2,9</t>
  </si>
  <si>
    <t>fi = 2</t>
  </si>
  <si>
    <t>SI P &gt; PI * F'(0)</t>
  </si>
  <si>
    <t xml:space="preserve">l sub i = e sub i </t>
  </si>
  <si>
    <t>si p &lt; o = pi * f'(0)</t>
  </si>
  <si>
    <t>FUNCIONES DE DEMANDA DE H Y L si p &gt; pi*f'(0)</t>
  </si>
  <si>
    <t>DAPL</t>
  </si>
  <si>
    <t>max DAPH</t>
  </si>
  <si>
    <t>lH1</t>
  </si>
  <si>
    <t>lH2</t>
  </si>
  <si>
    <t>lH3</t>
  </si>
  <si>
    <t>lH4</t>
  </si>
  <si>
    <t>lH = 18,69 - 1,98p</t>
  </si>
  <si>
    <t>de donde</t>
  </si>
  <si>
    <t>DAP H = (18,69 - lH)/1,98</t>
  </si>
  <si>
    <t>lL1</t>
  </si>
  <si>
    <t>lL2</t>
  </si>
  <si>
    <t>lL3</t>
  </si>
  <si>
    <t>lL4</t>
  </si>
  <si>
    <t>pi</t>
  </si>
  <si>
    <t>fi</t>
  </si>
  <si>
    <t>gama</t>
  </si>
  <si>
    <t>v</t>
  </si>
  <si>
    <t>max DAP</t>
  </si>
  <si>
    <t>max DAP H</t>
  </si>
  <si>
    <t>max DAP L</t>
  </si>
  <si>
    <t>lH</t>
  </si>
  <si>
    <t>lL</t>
  </si>
  <si>
    <t>qH</t>
  </si>
  <si>
    <t>vH</t>
  </si>
  <si>
    <t>vL</t>
  </si>
  <si>
    <t>Redondeando</t>
  </si>
  <si>
    <t>redondeada</t>
  </si>
  <si>
    <t>para abajo</t>
  </si>
  <si>
    <t>de las</t>
  </si>
  <si>
    <t>dos</t>
  </si>
  <si>
    <t>Sin redondeo</t>
  </si>
  <si>
    <t>Redondeo</t>
  </si>
  <si>
    <t>Demanda total de permisos</t>
  </si>
  <si>
    <t>LD</t>
  </si>
  <si>
    <t>Equilibrio High L</t>
  </si>
  <si>
    <t>Equilibrio Low L</t>
  </si>
  <si>
    <t>lL = 9,69 - 1,48p</t>
  </si>
  <si>
    <t>DAP L = (9,69 - lL)/1,48</t>
  </si>
  <si>
    <t>Si cantidades no enteras</t>
  </si>
  <si>
    <t>Demandas de Permisos, cantidades producidas y violaciones individuales</t>
  </si>
  <si>
    <t>Fiscalización</t>
  </si>
  <si>
    <t>Induce violaciones, f' creciente</t>
  </si>
  <si>
    <t>Induce cumplimiento, f' creciente</t>
  </si>
  <si>
    <t>P*</t>
  </si>
  <si>
    <t>12 - 13</t>
  </si>
  <si>
    <t>VOY A INTENTAR GRAFICAR OFERTA Y DEMANDA NETA DE LA ASIGNACIÓN INICIAL A VER SI ME DA EL PUTO PRECIO DE 6 Y LAS VIOLACIONES 4 O 5 FACILMENTE DE VER</t>
  </si>
  <si>
    <t>Una firma H representativa y una firma L representativa</t>
  </si>
  <si>
    <t>l</t>
  </si>
  <si>
    <t>RESTANDO LAS ASIGNACIONES INICIALES</t>
  </si>
  <si>
    <t>DAC L</t>
  </si>
  <si>
    <t xml:space="preserve">El p*=6. </t>
  </si>
  <si>
    <t>qH = 12 y qL = 6</t>
  </si>
  <si>
    <t>Las DAP y DAC son las del gráfico de al lado.</t>
  </si>
  <si>
    <t>Violaciones de cada una a medida que la L le vende a la H</t>
  </si>
  <si>
    <t>Transan</t>
  </si>
  <si>
    <t>f</t>
  </si>
  <si>
    <t>mayor que p*, cumplimiento</t>
  </si>
  <si>
    <t>delta f =</t>
  </si>
  <si>
    <t>pi*f'(v+1) L</t>
  </si>
  <si>
    <t>ME DA LO MISMO. LAS VIOLACIONES SON 5 Y 6</t>
  </si>
  <si>
    <t>Si cantidades enteras</t>
  </si>
  <si>
    <t>la firma demanda permisos hasta que p = pi * f'(v+1)</t>
  </si>
  <si>
    <t>=&gt;</t>
  </si>
  <si>
    <t>p = pi*(fi + gama*(q-l+1)), de donde</t>
  </si>
  <si>
    <t>menos</t>
  </si>
  <si>
    <t>por p</t>
  </si>
  <si>
    <t>lL es igual a</t>
  </si>
  <si>
    <t xml:space="preserve">DAPH = </t>
  </si>
  <si>
    <t>-</t>
  </si>
  <si>
    <t>DAP L =</t>
  </si>
  <si>
    <t>Low Standard and Low Enforcement</t>
  </si>
  <si>
    <t>a</t>
  </si>
  <si>
    <t>prob</t>
  </si>
  <si>
    <t>b</t>
  </si>
  <si>
    <t>phi</t>
  </si>
  <si>
    <t>c</t>
  </si>
  <si>
    <t>gamma</t>
  </si>
  <si>
    <t>d</t>
  </si>
  <si>
    <t>loH</t>
  </si>
  <si>
    <t>loL</t>
  </si>
  <si>
    <t>bH</t>
  </si>
  <si>
    <t>bL</t>
  </si>
  <si>
    <t>EMPH</t>
  </si>
  <si>
    <t>EMPL</t>
  </si>
  <si>
    <t>vh</t>
  </si>
  <si>
    <t>vl</t>
  </si>
  <si>
    <t>f'H</t>
  </si>
  <si>
    <t>f'L</t>
  </si>
  <si>
    <t xml:space="preserve"> </t>
  </si>
  <si>
    <t xml:space="preserve">  </t>
  </si>
  <si>
    <t>Low Standard and high enforcement</t>
  </si>
  <si>
    <t>High Standard and Low Enforcement</t>
  </si>
  <si>
    <t>High Standard and high Enforcement</t>
  </si>
  <si>
    <t>BMH = a - bq</t>
  </si>
  <si>
    <t>BML = c-dq</t>
  </si>
  <si>
    <t>Asignaciones</t>
  </si>
  <si>
    <t>iniciales</t>
  </si>
  <si>
    <t>sH</t>
  </si>
  <si>
    <t>sL</t>
  </si>
  <si>
    <t>No tiene sentido en escaleras porque v=0</t>
  </si>
  <si>
    <t>f'(v)</t>
  </si>
  <si>
    <t>pi*f'(v)</t>
  </si>
  <si>
    <t>Standards</t>
  </si>
  <si>
    <t xml:space="preserve"> (1) Bajo fi y subo gama tal que f queda constante</t>
  </si>
  <si>
    <t>(2) f'(v) me queda un poco más arriba</t>
  </si>
  <si>
    <t>(3) Puedo bajar pi y bajar costos de monitoreo</t>
  </si>
  <si>
    <t>PRUEBA NUMÉRICA DE dL/dfi &gt; 0 (puedo bajar costo del programa bajando fi y subiendo gama en delta fi/(v/2), tal como dice nuestro paper en páginas 34 y 35 (Proof Prop. 3)</t>
  </si>
  <si>
    <t>H = 3; L = 4</t>
  </si>
  <si>
    <t>pi*f'(1)</t>
  </si>
  <si>
    <t>gama = 0</t>
  </si>
  <si>
    <t>Induce violaciones en TDP, f' CONSTANTE</t>
  </si>
  <si>
    <t>p = pi*fi</t>
  </si>
  <si>
    <t>l sub i = 0 si p &gt; pi*fi</t>
  </si>
  <si>
    <t>si p &lt; o = pi * fi</t>
  </si>
  <si>
    <t>pi*fi = 0,7</t>
  </si>
  <si>
    <t>FIRMAS H</t>
  </si>
  <si>
    <t>FIRMAS L</t>
  </si>
  <si>
    <t>pi H</t>
  </si>
  <si>
    <t>pi L</t>
  </si>
  <si>
    <t>H = 2; L = 3</t>
  </si>
  <si>
    <t>H = 1; L = 1</t>
  </si>
  <si>
    <t>f'</t>
  </si>
  <si>
    <t>H = 1; L = 2</t>
  </si>
  <si>
    <t>H = 2; L = 2</t>
  </si>
  <si>
    <t>f(v)</t>
  </si>
  <si>
    <t>fi L</t>
  </si>
  <si>
    <t>phi H</t>
  </si>
  <si>
    <t>H = 12; L = 2</t>
  </si>
  <si>
    <t>H = 15; L = 7</t>
  </si>
  <si>
    <t>12-13</t>
  </si>
  <si>
    <t>todas las firmas</t>
  </si>
  <si>
    <t>Treatment</t>
  </si>
  <si>
    <t>Regulation</t>
  </si>
  <si>
    <t>Phi</t>
  </si>
  <si>
    <t>Gamma</t>
  </si>
  <si>
    <t>Fine parameter values (1)</t>
  </si>
  <si>
    <r>
      <t xml:space="preserve">(1) Fine structure is f = </t>
    </r>
    <r>
      <rPr>
        <sz val="11"/>
        <color theme="1"/>
        <rFont val="Calibri"/>
        <family val="2"/>
      </rPr>
      <t>φ × violation + γ × (violation)^2</t>
    </r>
  </si>
  <si>
    <t>Policy Induces</t>
  </si>
  <si>
    <t>Number of tradable permits supplied (L) or Aggregate Standard (S)</t>
  </si>
  <si>
    <t>Equilibrium price</t>
  </si>
  <si>
    <t>Initial individual endowment of permits / emission standard (2)</t>
  </si>
  <si>
    <t>(2) H = High marginal abatement cost firms; L = Low marginal abatement cost firms</t>
  </si>
  <si>
    <t>Individual Emissions (2)</t>
  </si>
  <si>
    <t>Individual Violation (2)</t>
  </si>
  <si>
    <t>Aggregate level of Emissions (T)</t>
  </si>
  <si>
    <t>Hypotheses</t>
  </si>
  <si>
    <t>Market</t>
  </si>
  <si>
    <t>Compliance</t>
  </si>
  <si>
    <t>Violations</t>
  </si>
  <si>
    <t>3 (3)</t>
  </si>
  <si>
    <t>(3) As the marginal expected penalty is lower than the equilibrium price with full compliance, zero trades occur and the regulation transforms into a system of emission standards (standards equal the initial allocation of permits). See Palacios Chávez, EDE, 2005 for motivation PCE Santiago.</t>
  </si>
  <si>
    <t>Monitoring Probability for firms of MAC type:</t>
  </si>
  <si>
    <t>Tradable permits, starting from a perfect compliance design, the regulator can maintain the level of emissions constant by decreasing L and the monitoring probability accordingly, such that T does not change.</t>
  </si>
  <si>
    <t>If the marginal expected cost of violation is larger than the marginal benefit of violation, a risk-neutral firm complies. Otherwise, it does not. This does not depend on the instrument chosen for regulating emissions (emission standards vs tradable permits), or the fine structure (flat or increasing in the margin).</t>
  </si>
  <si>
    <r>
      <t xml:space="preserve">"The regulator can maintain the same level of </t>
    </r>
    <r>
      <rPr>
        <b/>
        <i/>
        <sz val="11"/>
        <color theme="1"/>
        <rFont val="Calibri"/>
        <family val="2"/>
        <scheme val="minor"/>
      </rPr>
      <t>violation</t>
    </r>
    <r>
      <rPr>
        <sz val="11"/>
        <color theme="1"/>
        <rFont val="Calibri"/>
        <family val="2"/>
        <scheme val="minor"/>
      </rPr>
      <t xml:space="preserve"> changing the structure of the penalty function (changing the slope)", or "The individual level of violations does not depend on the structure of the penalty function". This results hold with permits and standards.</t>
    </r>
  </si>
  <si>
    <t>Los amarillo son los tratamientos que</t>
  </si>
  <si>
    <t>puedo usar para</t>
  </si>
  <si>
    <t>Hipótesis 2</t>
  </si>
  <si>
    <t>Observations</t>
  </si>
  <si>
    <t>for Hip. 2</t>
  </si>
  <si>
    <t>for Hip. 3</t>
  </si>
  <si>
    <t>rounds</t>
  </si>
  <si>
    <t>individuos</t>
  </si>
  <si>
    <t>grupos</t>
  </si>
  <si>
    <t>tratamientos</t>
  </si>
  <si>
    <t>Observacioones</t>
  </si>
  <si>
    <t xml:space="preserve">Original Hip.: With standards, starting from complete compliance and an increasing marginal penalty, the regulator can maintain the level of emissions constant by decreasing the standard and the monitoring probability accordingly (but inducing violation). Treatments 5 and 7. IF WE USE treatments 5,6,7 and 8 we sum the case of a falt marginal penalty. (In treatment 8 monitoring probabilities and phi change (with respct to treatment 6) to make the new lower standards 1 and 2 (integers). We need to change this. Phi cannot change with respect to treatment 6). </t>
  </si>
  <si>
    <t>DELTA</t>
  </si>
  <si>
    <t>DELTA BENEFICIO</t>
  </si>
  <si>
    <t>SUMA HORIZONTAL</t>
  </si>
  <si>
    <t>DAP</t>
  </si>
  <si>
    <t>demanda H</t>
  </si>
  <si>
    <t>oferta Low</t>
  </si>
  <si>
    <t>DAP H</t>
  </si>
  <si>
    <t>Se transan 3 unidades. Las compra H</t>
  </si>
  <si>
    <t>las vende L</t>
  </si>
  <si>
    <r>
      <t xml:space="preserve">Si la asignación inicial es </t>
    </r>
    <r>
      <rPr>
        <b/>
        <sz val="11"/>
        <color rgb="FFFF0000"/>
        <rFont val="Calibri"/>
        <family val="2"/>
        <scheme val="minor"/>
      </rPr>
      <t>H = 3 y L = 4</t>
    </r>
    <r>
      <rPr>
        <sz val="11"/>
        <color theme="1"/>
        <rFont val="Calibri"/>
        <family val="2"/>
        <scheme val="minor"/>
      </rPr>
      <t>, el mercado (oferta y demanda) luce:</t>
    </r>
  </si>
  <si>
    <r>
      <t xml:space="preserve">Si la asignación inicial es </t>
    </r>
    <r>
      <rPr>
        <b/>
        <sz val="11"/>
        <color rgb="FFFF0000"/>
        <rFont val="Calibri"/>
        <family val="2"/>
        <scheme val="minor"/>
      </rPr>
      <t>H = 2 y L = 5</t>
    </r>
    <r>
      <rPr>
        <sz val="11"/>
        <color theme="1"/>
        <rFont val="Calibri"/>
        <family val="2"/>
        <scheme val="minor"/>
      </rPr>
      <t>, el mercado (oferta y demanda) luce:</t>
    </r>
  </si>
  <si>
    <t>Si tomo los DELTA BENEFICIO como OFERTA Y DEMANDA el PRECIO DE EQUILIBRIO ME DA ENTRE 13 Y 13,5.</t>
  </si>
  <si>
    <t>Podemos usar esto para los trainers.</t>
  </si>
  <si>
    <t>Podemos usar una asignación (5,2) para lograr más transacciones.</t>
  </si>
  <si>
    <t>Aunque quizás debamos separa más el 13 del 13,5</t>
  </si>
  <si>
    <t>APARENTEMENTE, PARA QUE A JOHN Y JIM LE DE EL P* ENTRE 12 Y 13 ADOPTARON LA CONVENCIÓN QUE</t>
  </si>
  <si>
    <t>DAP (0) = BM(1)</t>
  </si>
  <si>
    <t>convención</t>
  </si>
  <si>
    <t>oferta</t>
  </si>
  <si>
    <t>demanda</t>
  </si>
  <si>
    <t>Se transan 2 unidades. Las compra H</t>
  </si>
  <si>
    <t>ESTO ES LO QUE HICIERON JOHN Y JIM</t>
  </si>
  <si>
    <t>Se transan 1 unidad. La compra H</t>
  </si>
  <si>
    <t>la vende L</t>
  </si>
  <si>
    <t>LO HACEMOS PARA LOS TRAINERS. HAY UNA SOLA TRANSACCIÓN POR TIPO POR PERÍODO.</t>
  </si>
  <si>
    <t>LLEVA MENOS TIEMPO.</t>
  </si>
  <si>
    <t>MÁS BARATO ENTRENAR.</t>
  </si>
  <si>
    <t>Esta hoja tiene los tratamientos y parámetros en función de la escalera (oferta y demanda) que aparentemente usaron Jim y John.  (Ver debajo de la tabla)</t>
  </si>
  <si>
    <t>1/gama =</t>
  </si>
  <si>
    <t>1/gama*fi =</t>
  </si>
  <si>
    <t>1/gama/ pi =</t>
  </si>
  <si>
    <t>De todas maneras en la tabla de acá abajo no utilizamos el método del v+1. Agarramos las funciones 18,69…y 9,69… de arriba y las redondeamos</t>
  </si>
  <si>
    <r>
      <t xml:space="preserve">sustituyendo q sub i por 18 - p en el caso de H y 9 - p/2 en el caso de L y sustituyendo </t>
    </r>
    <r>
      <rPr>
        <b/>
        <i/>
        <sz val="11"/>
        <color rgb="FFFF0000"/>
        <rFont val="Calibri"/>
        <family val="2"/>
        <scheme val="minor"/>
      </rPr>
      <t>por los valores de gama, pi y fi de John y Jim</t>
    </r>
  </si>
  <si>
    <t>Demanda de permisos (con violaciones, p* &gt; pi*f'(0))</t>
  </si>
  <si>
    <t>Emisiones (c´= p)</t>
  </si>
  <si>
    <t>ACÁ USAMOS EL V + 1</t>
  </si>
  <si>
    <t>ESTO ES LO QUE HICIERON JOHN Y JIM Y LO QUE HICIMOS NOSOTROS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</si>
</sst>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
    <numFmt numFmtId="166" formatCode="0.0000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8"/>
      <color indexed="81"/>
      <name val="Tahoma"/>
      <family val="2"/>
    </font>
    <font>
      <b/>
      <sz val="8"/>
      <color indexed="81"/>
      <name val="Tahoma"/>
      <family val="2"/>
    </font>
    <font>
      <b/>
      <sz val="11"/>
      <color rgb="FFFF0000"/>
      <name val="Calibri"/>
      <family val="2"/>
      <scheme val="minor"/>
    </font>
    <font>
      <sz val="11"/>
      <name val="Calibri"/>
      <family val="2"/>
      <scheme val="minor"/>
    </font>
    <font>
      <b/>
      <i/>
      <sz val="11"/>
      <color theme="1"/>
      <name val="Calibri"/>
      <family val="2"/>
      <scheme val="minor"/>
    </font>
    <font>
      <b/>
      <sz val="11"/>
      <name val="Calibri"/>
      <family val="2"/>
      <scheme val="minor"/>
    </font>
    <font>
      <b/>
      <i/>
      <u/>
      <sz val="11"/>
      <color theme="1"/>
      <name val="Calibri"/>
      <family val="2"/>
      <scheme val="minor"/>
    </font>
    <font>
      <sz val="11"/>
      <color theme="1"/>
      <name val="Calibri"/>
      <family val="2"/>
    </font>
    <font>
      <sz val="9"/>
      <color indexed="81"/>
      <name val="Tahoma"/>
      <family val="2"/>
    </font>
    <font>
      <b/>
      <sz val="9"/>
      <color indexed="81"/>
      <name val="Tahoma"/>
      <family val="2"/>
    </font>
    <font>
      <i/>
      <sz val="11"/>
      <color theme="1"/>
      <name val="Calibri"/>
      <family val="2"/>
      <scheme val="minor"/>
    </font>
    <font>
      <b/>
      <i/>
      <sz val="11"/>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C00000"/>
        <bgColor indexed="64"/>
      </patternFill>
    </fill>
    <fill>
      <patternFill patternType="solid">
        <fgColor rgb="FF92D050"/>
        <bgColor indexed="64"/>
      </patternFill>
    </fill>
    <fill>
      <patternFill patternType="solid">
        <fgColor rgb="FFFFFFCC"/>
        <bgColor indexed="64"/>
      </patternFill>
    </fill>
    <fill>
      <patternFill patternType="solid">
        <fgColor rgb="FFFFCCCC"/>
        <bgColor indexed="64"/>
      </patternFill>
    </fill>
    <fill>
      <patternFill patternType="solid">
        <fgColor rgb="FF66FF6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ck">
        <color indexed="64"/>
      </bottom>
      <diagonal/>
    </border>
    <border>
      <left/>
      <right/>
      <top/>
      <bottom style="medium">
        <color indexed="64"/>
      </bottom>
      <diagonal/>
    </border>
    <border>
      <left style="thin">
        <color indexed="64"/>
      </left>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0">
    <xf numFmtId="0" fontId="0" fillId="0" borderId="0" xfId="0"/>
    <xf numFmtId="0" fontId="2" fillId="0" borderId="0" xfId="0" applyFont="1"/>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2" borderId="0" xfId="0" applyFill="1"/>
    <xf numFmtId="0" fontId="0" fillId="2" borderId="0" xfId="0" applyFill="1" applyAlignment="1">
      <alignment horizontal="right"/>
    </xf>
    <xf numFmtId="164" fontId="0" fillId="0" borderId="0" xfId="0" applyNumberFormat="1"/>
    <xf numFmtId="0" fontId="5" fillId="0" borderId="0" xfId="0" applyFont="1"/>
    <xf numFmtId="0" fontId="5" fillId="2" borderId="0" xfId="0" applyFont="1" applyFill="1"/>
    <xf numFmtId="0" fontId="1" fillId="2" borderId="0" xfId="0" applyFont="1" applyFill="1" applyAlignment="1">
      <alignment horizontal="right"/>
    </xf>
    <xf numFmtId="0" fontId="1" fillId="2" borderId="0" xfId="0" applyFont="1" applyFill="1"/>
    <xf numFmtId="0" fontId="5" fillId="3" borderId="0" xfId="0" applyFont="1" applyFill="1" applyAlignment="1">
      <alignment horizontal="right"/>
    </xf>
    <xf numFmtId="0" fontId="5" fillId="3" borderId="0" xfId="0" applyFont="1" applyFill="1"/>
    <xf numFmtId="0" fontId="0" fillId="3" borderId="0" xfId="0" applyFill="1" applyAlignment="1">
      <alignment horizontal="right"/>
    </xf>
    <xf numFmtId="0" fontId="0" fillId="3" borderId="0" xfId="0" applyFill="1" applyAlignment="1">
      <alignment horizontal="right" vertical="center"/>
    </xf>
    <xf numFmtId="165" fontId="0" fillId="0" borderId="0" xfId="0" applyNumberFormat="1"/>
    <xf numFmtId="0" fontId="6" fillId="0" borderId="0" xfId="0" applyFont="1"/>
    <xf numFmtId="0" fontId="6" fillId="3" borderId="0" xfId="0" applyFont="1" applyFill="1" applyAlignment="1">
      <alignment horizontal="right"/>
    </xf>
    <xf numFmtId="16" fontId="0" fillId="3" borderId="0" xfId="0" quotePrefix="1" applyNumberFormat="1" applyFill="1" applyAlignment="1">
      <alignment horizontal="right"/>
    </xf>
    <xf numFmtId="0" fontId="0" fillId="3" borderId="0" xfId="0" quotePrefix="1" applyFill="1" applyAlignment="1">
      <alignment horizontal="right"/>
    </xf>
    <xf numFmtId="0" fontId="0" fillId="0" borderId="0" xfId="0" quotePrefix="1"/>
    <xf numFmtId="164" fontId="0" fillId="3" borderId="0" xfId="0" applyNumberFormat="1" applyFill="1" applyAlignment="1">
      <alignment horizontal="right"/>
    </xf>
    <xf numFmtId="164" fontId="6" fillId="0" borderId="0" xfId="0" applyNumberFormat="1" applyFont="1"/>
    <xf numFmtId="0" fontId="0" fillId="3" borderId="0" xfId="0" applyFill="1"/>
    <xf numFmtId="0" fontId="2" fillId="0" borderId="1" xfId="0" applyFont="1" applyBorder="1"/>
    <xf numFmtId="0" fontId="2" fillId="2" borderId="1" xfId="0" applyFont="1" applyFill="1" applyBorder="1"/>
    <xf numFmtId="0" fontId="0" fillId="0" borderId="1" xfId="0" applyBorder="1"/>
    <xf numFmtId="0" fontId="0" fillId="2" borderId="1" xfId="0" applyFill="1" applyBorder="1"/>
    <xf numFmtId="0" fontId="0" fillId="4" borderId="1" xfId="0" applyFill="1" applyBorder="1"/>
    <xf numFmtId="0" fontId="2" fillId="4" borderId="1" xfId="0" applyFont="1" applyFill="1" applyBorder="1"/>
    <xf numFmtId="0" fontId="0" fillId="4" borderId="0" xfId="0" applyFill="1"/>
    <xf numFmtId="0" fontId="0" fillId="0" borderId="0" xfId="0" applyAlignment="1">
      <alignment horizontal="center"/>
    </xf>
    <xf numFmtId="0" fontId="0" fillId="0" borderId="0" xfId="0" applyAlignment="1">
      <alignment horizontal="center" vertical="center"/>
    </xf>
    <xf numFmtId="0" fontId="7" fillId="3" borderId="0" xfId="0" applyFont="1" applyFill="1"/>
    <xf numFmtId="0" fontId="0" fillId="0" borderId="0" xfId="0" applyBorder="1"/>
    <xf numFmtId="0" fontId="0" fillId="3" borderId="1" xfId="0" applyFill="1" applyBorder="1"/>
    <xf numFmtId="0" fontId="7" fillId="3" borderId="1" xfId="0" applyFont="1" applyFill="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8" fillId="0" borderId="0" xfId="0" applyFont="1"/>
    <xf numFmtId="0" fontId="9" fillId="2" borderId="0" xfId="0" applyFont="1" applyFill="1"/>
    <xf numFmtId="166" fontId="0" fillId="0" borderId="0" xfId="0" applyNumberFormat="1"/>
    <xf numFmtId="2" fontId="0" fillId="0" borderId="0" xfId="0" applyNumberFormat="1"/>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0" borderId="0" xfId="0" applyFill="1" applyAlignment="1">
      <alignment horizontal="center"/>
    </xf>
    <xf numFmtId="0" fontId="0" fillId="5" borderId="0" xfId="0" applyFill="1"/>
    <xf numFmtId="0" fontId="0" fillId="0" borderId="0" xfId="0" applyFill="1"/>
    <xf numFmtId="0" fontId="2" fillId="0" borderId="0" xfId="0" applyFont="1" applyAlignment="1">
      <alignment horizontal="right"/>
    </xf>
    <xf numFmtId="0" fontId="2" fillId="2" borderId="0" xfId="0" applyFont="1" applyFill="1" applyAlignment="1">
      <alignment horizontal="center"/>
    </xf>
    <xf numFmtId="0" fontId="2" fillId="5" borderId="0" xfId="0" applyFont="1" applyFill="1" applyAlignment="1">
      <alignment horizontal="center"/>
    </xf>
    <xf numFmtId="0" fontId="1" fillId="0" borderId="0" xfId="0" applyFont="1" applyAlignment="1">
      <alignment horizontal="center"/>
    </xf>
    <xf numFmtId="0" fontId="5" fillId="3" borderId="0" xfId="0" applyFont="1" applyFill="1" applyAlignment="1">
      <alignment horizontal="center"/>
    </xf>
    <xf numFmtId="0" fontId="0" fillId="3" borderId="0" xfId="0" applyFill="1" applyAlignment="1">
      <alignment horizontal="center"/>
    </xf>
    <xf numFmtId="0" fontId="0" fillId="0" borderId="0" xfId="0" applyAlignment="1">
      <alignment horizontal="center"/>
    </xf>
    <xf numFmtId="0" fontId="2" fillId="0" borderId="0" xfId="0" quotePrefix="1" applyFont="1" applyAlignment="1">
      <alignment horizontal="right"/>
    </xf>
    <xf numFmtId="0" fontId="1" fillId="0" borderId="0" xfId="0" applyFont="1"/>
    <xf numFmtId="0" fontId="5" fillId="0" borderId="0" xfId="0" applyFont="1" applyAlignment="1">
      <alignment horizontal="center"/>
    </xf>
    <xf numFmtId="0" fontId="8" fillId="5" borderId="0" xfId="0" applyFont="1" applyFill="1" applyAlignment="1">
      <alignment horizontal="center"/>
    </xf>
    <xf numFmtId="0" fontId="6" fillId="5" borderId="0" xfId="0" applyFont="1" applyFill="1" applyAlignment="1">
      <alignment horizontal="center"/>
    </xf>
    <xf numFmtId="0" fontId="2" fillId="6" borderId="0" xfId="0" applyFont="1" applyFill="1" applyAlignment="1">
      <alignment horizontal="center"/>
    </xf>
    <xf numFmtId="0" fontId="2" fillId="7" borderId="0" xfId="0" applyFont="1" applyFill="1" applyAlignment="1">
      <alignment horizontal="center"/>
    </xf>
    <xf numFmtId="0" fontId="0" fillId="6" borderId="0" xfId="0" applyFill="1" applyAlignment="1">
      <alignment horizont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0" xfId="0"/>
    <xf numFmtId="0" fontId="0" fillId="0" borderId="32" xfId="0"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center" vertical="center"/>
    </xf>
    <xf numFmtId="0" fontId="0" fillId="0" borderId="0" xfId="0" applyFill="1" applyBorder="1"/>
    <xf numFmtId="0" fontId="0" fillId="0" borderId="0" xfId="0" applyAlignment="1">
      <alignment horizontal="center" vertical="center"/>
    </xf>
    <xf numFmtId="0" fontId="0" fillId="0" borderId="1" xfId="0" applyBorder="1" applyAlignment="1">
      <alignment horizontal="center"/>
    </xf>
    <xf numFmtId="0" fontId="0" fillId="3" borderId="0" xfId="0" applyFill="1" applyBorder="1" applyAlignment="1">
      <alignment horizontal="center"/>
    </xf>
    <xf numFmtId="0" fontId="2" fillId="0" borderId="54"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0" fillId="0" borderId="33" xfId="0" applyBorder="1"/>
    <xf numFmtId="0" fontId="0" fillId="0" borderId="48" xfId="0" applyBorder="1"/>
    <xf numFmtId="0" fontId="0" fillId="0" borderId="34" xfId="0" applyBorder="1"/>
    <xf numFmtId="0" fontId="0" fillId="0" borderId="2" xfId="0" applyBorder="1" applyAlignment="1">
      <alignment horizontal="center" vertical="center"/>
    </xf>
    <xf numFmtId="0" fontId="0" fillId="0" borderId="49" xfId="0" applyBorder="1"/>
    <xf numFmtId="0" fontId="0" fillId="0" borderId="37" xfId="0" applyBorder="1"/>
    <xf numFmtId="0" fontId="1" fillId="0" borderId="2" xfId="0" applyFont="1" applyBorder="1" applyAlignment="1">
      <alignment horizontal="center" vertical="center"/>
    </xf>
    <xf numFmtId="0" fontId="8" fillId="0" borderId="2" xfId="0" applyFont="1" applyBorder="1" applyAlignment="1">
      <alignment horizontal="center" vertical="center"/>
    </xf>
    <xf numFmtId="0" fontId="6" fillId="0" borderId="2" xfId="0" applyFont="1" applyBorder="1" applyAlignment="1">
      <alignment horizontal="center" vertical="center"/>
    </xf>
    <xf numFmtId="0" fontId="0" fillId="0" borderId="35" xfId="0" applyBorder="1"/>
    <xf numFmtId="0" fontId="0" fillId="0" borderId="39" xfId="0" applyBorder="1"/>
    <xf numFmtId="0" fontId="0" fillId="0" borderId="36" xfId="0" applyBorder="1"/>
    <xf numFmtId="0" fontId="0" fillId="0" borderId="0" xfId="0" applyBorder="1" applyAlignment="1">
      <alignment horizontal="center"/>
    </xf>
    <xf numFmtId="0" fontId="2" fillId="9" borderId="22" xfId="0" applyFont="1" applyFill="1" applyBorder="1" applyAlignment="1">
      <alignment horizontal="center" vertical="center"/>
    </xf>
    <xf numFmtId="0" fontId="0" fillId="9" borderId="34" xfId="0" applyFill="1" applyBorder="1"/>
    <xf numFmtId="0" fontId="2" fillId="9" borderId="58"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25"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7" xfId="0" applyFont="1" applyFill="1" applyBorder="1" applyAlignment="1">
      <alignment horizontal="center" vertical="center"/>
    </xf>
    <xf numFmtId="0" fontId="0" fillId="9" borderId="2" xfId="0" applyFill="1" applyBorder="1" applyAlignment="1">
      <alignment horizontal="center"/>
    </xf>
    <xf numFmtId="0" fontId="0" fillId="9" borderId="0" xfId="0" applyFill="1" applyBorder="1" applyAlignment="1">
      <alignment horizontal="center"/>
    </xf>
    <xf numFmtId="0" fontId="0" fillId="9" borderId="1" xfId="0" applyFill="1" applyBorder="1" applyAlignment="1">
      <alignment horizontal="center"/>
    </xf>
    <xf numFmtId="0" fontId="0" fillId="9" borderId="25" xfId="0" applyFill="1" applyBorder="1" applyAlignment="1">
      <alignment horizontal="center"/>
    </xf>
    <xf numFmtId="0" fontId="7" fillId="9" borderId="2" xfId="0" applyFont="1" applyFill="1" applyBorder="1" applyAlignment="1">
      <alignment horizontal="center"/>
    </xf>
    <xf numFmtId="0" fontId="7" fillId="9" borderId="1" xfId="0" applyFont="1" applyFill="1" applyBorder="1" applyAlignment="1">
      <alignment horizontal="center"/>
    </xf>
    <xf numFmtId="0" fontId="7" fillId="9" borderId="25" xfId="0" applyFont="1" applyFill="1" applyBorder="1" applyAlignment="1">
      <alignment horizontal="center"/>
    </xf>
    <xf numFmtId="164" fontId="0" fillId="9" borderId="0" xfId="0" applyNumberFormat="1" applyFill="1" applyBorder="1" applyAlignment="1">
      <alignment horizontal="center"/>
    </xf>
    <xf numFmtId="0" fontId="7" fillId="9" borderId="3" xfId="0" applyFont="1" applyFill="1" applyBorder="1" applyAlignment="1">
      <alignment horizontal="center"/>
    </xf>
    <xf numFmtId="0" fontId="0" fillId="9" borderId="39" xfId="0" applyFill="1" applyBorder="1" applyAlignment="1">
      <alignment horizontal="center"/>
    </xf>
    <xf numFmtId="0" fontId="7" fillId="9" borderId="4" xfId="0" applyFont="1" applyFill="1" applyBorder="1" applyAlignment="1">
      <alignment horizontal="center"/>
    </xf>
    <xf numFmtId="0" fontId="7" fillId="9" borderId="26" xfId="0" applyFont="1" applyFill="1" applyBorder="1" applyAlignment="1">
      <alignment horizontal="center"/>
    </xf>
    <xf numFmtId="0" fontId="2" fillId="10" borderId="58"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7" xfId="0" applyFont="1" applyFill="1" applyBorder="1" applyAlignment="1">
      <alignment horizontal="center" vertical="center"/>
    </xf>
    <xf numFmtId="0" fontId="0" fillId="10" borderId="2" xfId="0" applyFill="1" applyBorder="1" applyAlignment="1">
      <alignment horizontal="center"/>
    </xf>
    <xf numFmtId="0" fontId="0" fillId="10" borderId="0" xfId="0" applyFill="1" applyBorder="1" applyAlignment="1">
      <alignment horizontal="center"/>
    </xf>
    <xf numFmtId="0" fontId="7" fillId="10" borderId="2" xfId="0" applyFont="1" applyFill="1" applyBorder="1" applyAlignment="1">
      <alignment horizontal="center"/>
    </xf>
    <xf numFmtId="164" fontId="0" fillId="10" borderId="0" xfId="0" applyNumberFormat="1" applyFill="1" applyBorder="1" applyAlignment="1">
      <alignment horizontal="center"/>
    </xf>
    <xf numFmtId="0" fontId="7" fillId="10" borderId="3" xfId="0" applyFont="1" applyFill="1" applyBorder="1" applyAlignment="1">
      <alignment horizontal="center"/>
    </xf>
    <xf numFmtId="0" fontId="0" fillId="10" borderId="39" xfId="0" applyFill="1" applyBorder="1" applyAlignment="1">
      <alignment horizontal="center"/>
    </xf>
    <xf numFmtId="0" fontId="2" fillId="10" borderId="6" xfId="0" applyFont="1" applyFill="1" applyBorder="1" applyAlignment="1">
      <alignment horizontal="center" vertical="center"/>
    </xf>
    <xf numFmtId="0" fontId="2" fillId="10" borderId="17" xfId="0" applyFont="1" applyFill="1" applyBorder="1" applyAlignment="1">
      <alignment horizontal="center" vertical="center"/>
    </xf>
    <xf numFmtId="0" fontId="2" fillId="10" borderId="59" xfId="0" applyFont="1" applyFill="1" applyBorder="1" applyAlignment="1">
      <alignment horizontal="center" vertical="center"/>
    </xf>
    <xf numFmtId="0" fontId="2" fillId="10" borderId="53" xfId="0" applyFont="1" applyFill="1" applyBorder="1" applyAlignment="1">
      <alignment horizontal="center" vertical="center"/>
    </xf>
    <xf numFmtId="0" fontId="7" fillId="10" borderId="1" xfId="0" applyFont="1" applyFill="1" applyBorder="1" applyAlignment="1">
      <alignment horizontal="center" vertical="center"/>
    </xf>
    <xf numFmtId="0" fontId="13" fillId="10" borderId="1" xfId="0" applyFont="1" applyFill="1" applyBorder="1" applyAlignment="1">
      <alignment horizontal="center"/>
    </xf>
    <xf numFmtId="0" fontId="0" fillId="2" borderId="0" xfId="0" applyFill="1" applyBorder="1" applyAlignment="1">
      <alignment horizontal="center"/>
    </xf>
    <xf numFmtId="0" fontId="7" fillId="3" borderId="2" xfId="0" applyFont="1" applyFill="1" applyBorder="1" applyAlignment="1">
      <alignment horizontal="center"/>
    </xf>
    <xf numFmtId="0" fontId="13" fillId="2" borderId="1" xfId="0" applyFont="1" applyFill="1" applyBorder="1" applyAlignment="1">
      <alignment horizont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10" borderId="0" xfId="0" applyFill="1" applyAlignment="1">
      <alignment horizontal="center" vertical="center"/>
    </xf>
    <xf numFmtId="0" fontId="13" fillId="3" borderId="1" xfId="0" applyFont="1" applyFill="1" applyBorder="1" applyAlignment="1">
      <alignment horizontal="center"/>
    </xf>
    <xf numFmtId="0" fontId="2" fillId="2" borderId="0" xfId="0" applyFont="1" applyFill="1"/>
    <xf numFmtId="0" fontId="2" fillId="2" borderId="0" xfId="0" quotePrefix="1" applyFont="1" applyFill="1"/>
    <xf numFmtId="0" fontId="2" fillId="0" borderId="0" xfId="0" quotePrefix="1" applyFont="1"/>
    <xf numFmtId="2" fontId="0" fillId="4" borderId="0" xfId="0" applyNumberFormat="1" applyFill="1"/>
    <xf numFmtId="0" fontId="2" fillId="4" borderId="0" xfId="0" applyFont="1" applyFill="1"/>
    <xf numFmtId="0" fontId="2" fillId="4" borderId="0" xfId="0" quotePrefix="1" applyFont="1" applyFill="1"/>
    <xf numFmtId="0" fontId="2" fillId="0" borderId="6" xfId="0" applyFont="1" applyBorder="1"/>
    <xf numFmtId="0" fontId="0" fillId="11" borderId="0" xfId="0" applyFill="1"/>
    <xf numFmtId="0" fontId="2" fillId="10" borderId="29" xfId="0" applyFont="1" applyFill="1" applyBorder="1" applyAlignment="1">
      <alignment horizontal="center" vertical="center"/>
    </xf>
    <xf numFmtId="0" fontId="2" fillId="10" borderId="31" xfId="0" applyFont="1" applyFill="1" applyBorder="1" applyAlignment="1">
      <alignment horizontal="center" vertical="center"/>
    </xf>
    <xf numFmtId="0" fontId="2" fillId="10" borderId="60" xfId="0" applyFont="1" applyFill="1" applyBorder="1" applyAlignment="1">
      <alignment horizontal="center" vertical="center"/>
    </xf>
    <xf numFmtId="0" fontId="2" fillId="10" borderId="61" xfId="0" applyFont="1" applyFill="1" applyBorder="1" applyAlignment="1">
      <alignment horizontal="center" vertical="center"/>
    </xf>
    <xf numFmtId="0" fontId="1" fillId="2" borderId="0" xfId="0" applyFont="1" applyFill="1" applyAlignment="1">
      <alignment horizontal="center"/>
    </xf>
    <xf numFmtId="0" fontId="2" fillId="9" borderId="55" xfId="0" applyFont="1" applyFill="1" applyBorder="1" applyAlignment="1">
      <alignment horizontal="center" vertical="center"/>
    </xf>
    <xf numFmtId="0" fontId="2" fillId="9" borderId="57" xfId="0" applyFont="1" applyFill="1" applyBorder="1" applyAlignment="1">
      <alignment horizontal="center" vertical="center"/>
    </xf>
    <xf numFmtId="0" fontId="2" fillId="9" borderId="56" xfId="0" applyFont="1" applyFill="1" applyBorder="1" applyAlignment="1">
      <alignment horizontal="center" vertical="center"/>
    </xf>
    <xf numFmtId="0" fontId="2" fillId="10" borderId="30" xfId="0" applyFont="1" applyFill="1" applyBorder="1" applyAlignment="1">
      <alignment horizontal="center" vertical="center"/>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5"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6" xfId="0" applyBorder="1" applyAlignment="1">
      <alignment horizontal="center" vertical="center" wrapText="1"/>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wrapText="1"/>
    </xf>
    <xf numFmtId="0" fontId="0" fillId="3" borderId="1" xfId="0" applyFill="1" applyBorder="1" applyAlignment="1">
      <alignment horizontal="center" vertical="center" wrapText="1"/>
    </xf>
    <xf numFmtId="0" fontId="0" fillId="0" borderId="34" xfId="0" applyBorder="1" applyAlignment="1">
      <alignment horizontal="center" vertical="center" wrapText="1"/>
    </xf>
    <xf numFmtId="0" fontId="0" fillId="0" borderId="49" xfId="0" applyBorder="1" applyAlignment="1">
      <alignment horizontal="center" vertical="center" wrapText="1"/>
    </xf>
    <xf numFmtId="0" fontId="0" fillId="0" borderId="36" xfId="0" applyBorder="1" applyAlignment="1">
      <alignment horizontal="center" vertical="center" wrapText="1"/>
    </xf>
    <xf numFmtId="0" fontId="0" fillId="0" borderId="48"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wrapText="1"/>
    </xf>
    <xf numFmtId="0" fontId="7" fillId="0" borderId="3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1" fontId="6" fillId="3" borderId="1" xfId="0" quotePrefix="1"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0" fontId="6" fillId="3" borderId="1" xfId="0" quotePrefix="1"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1" fontId="6" fillId="3" borderId="10" xfId="0" quotePrefix="1" applyNumberFormat="1" applyFont="1" applyFill="1" applyBorder="1" applyAlignment="1">
      <alignment horizontal="center" vertical="center"/>
    </xf>
    <xf numFmtId="1" fontId="6" fillId="3" borderId="10" xfId="0" applyNumberFormat="1" applyFont="1" applyFill="1" applyBorder="1" applyAlignment="1">
      <alignment horizontal="center" vertical="center"/>
    </xf>
    <xf numFmtId="0" fontId="5" fillId="3" borderId="1" xfId="0" applyFont="1" applyFill="1" applyBorder="1" applyAlignment="1">
      <alignment horizontal="center" vertical="center"/>
    </xf>
    <xf numFmtId="1" fontId="0" fillId="3" borderId="15" xfId="0" quotePrefix="1" applyNumberFormat="1" applyFill="1" applyBorder="1" applyAlignment="1">
      <alignment horizontal="center" vertical="center"/>
    </xf>
    <xf numFmtId="1" fontId="0" fillId="3" borderId="10" xfId="0" applyNumberFormat="1" applyFill="1" applyBorder="1" applyAlignment="1">
      <alignment horizontal="center" vertical="center"/>
    </xf>
    <xf numFmtId="1" fontId="0" fillId="3" borderId="6" xfId="0" quotePrefix="1" applyNumberFormat="1" applyFill="1" applyBorder="1" applyAlignment="1">
      <alignment horizontal="center" vertical="center"/>
    </xf>
    <xf numFmtId="1" fontId="0" fillId="3" borderId="1" xfId="0" applyNumberFormat="1" applyFill="1" applyBorder="1" applyAlignment="1">
      <alignment horizontal="center" vertical="center"/>
    </xf>
    <xf numFmtId="17" fontId="0" fillId="3" borderId="6" xfId="0" quotePrefix="1" applyNumberFormat="1" applyFill="1" applyBorder="1" applyAlignment="1">
      <alignment horizontal="center"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wrapText="1"/>
    </xf>
    <xf numFmtId="0" fontId="6" fillId="6" borderId="1" xfId="0" applyFont="1" applyFill="1" applyBorder="1" applyAlignment="1">
      <alignment horizontal="center" vertical="center" wrapText="1"/>
    </xf>
    <xf numFmtId="1" fontId="6" fillId="6" borderId="1" xfId="0" quotePrefix="1" applyNumberFormat="1" applyFont="1" applyFill="1" applyBorder="1" applyAlignment="1">
      <alignment horizontal="center" vertical="center"/>
    </xf>
    <xf numFmtId="1" fontId="6" fillId="6" borderId="1" xfId="0" applyNumberFormat="1" applyFont="1" applyFill="1" applyBorder="1" applyAlignment="1">
      <alignment horizontal="center" vertical="center"/>
    </xf>
    <xf numFmtId="17" fontId="6" fillId="3" borderId="1" xfId="0" quotePrefix="1" applyNumberFormat="1" applyFont="1" applyFill="1" applyBorder="1" applyAlignment="1">
      <alignment horizontal="center" vertical="center"/>
    </xf>
    <xf numFmtId="1" fontId="6" fillId="6" borderId="10" xfId="0" quotePrefix="1" applyNumberFormat="1" applyFont="1" applyFill="1" applyBorder="1" applyAlignment="1">
      <alignment horizontal="center" vertical="center"/>
    </xf>
    <xf numFmtId="1" fontId="6" fillId="6" borderId="10"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0" fillId="3" borderId="11" xfId="0"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12" xfId="0" applyFill="1" applyBorder="1" applyAlignment="1">
      <alignment horizontal="center" vertical="center" wrapText="1"/>
    </xf>
    <xf numFmtId="1" fontId="0" fillId="3" borderId="1" xfId="0" quotePrefix="1" applyNumberFormat="1" applyFill="1" applyBorder="1" applyAlignment="1">
      <alignment horizontal="center" vertical="center"/>
    </xf>
    <xf numFmtId="1" fontId="0" fillId="3" borderId="11" xfId="0" applyNumberFormat="1" applyFill="1" applyBorder="1" applyAlignment="1">
      <alignment horizontal="center" vertical="center"/>
    </xf>
    <xf numFmtId="0" fontId="0" fillId="3" borderId="1" xfId="0" quotePrefix="1" applyFill="1" applyBorder="1" applyAlignment="1">
      <alignment horizontal="center" vertical="center"/>
    </xf>
    <xf numFmtId="0" fontId="0" fillId="3" borderId="11" xfId="0" applyFill="1" applyBorder="1" applyAlignment="1">
      <alignment horizontal="center" vertical="center"/>
    </xf>
    <xf numFmtId="0" fontId="6" fillId="3" borderId="6" xfId="0" applyFont="1" applyFill="1" applyBorder="1" applyAlignment="1">
      <alignment horizontal="center" vertical="center" wrapText="1"/>
    </xf>
    <xf numFmtId="1" fontId="6" fillId="3" borderId="13" xfId="0" applyNumberFormat="1" applyFont="1" applyFill="1"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6" xfId="0" applyFont="1" applyFill="1" applyBorder="1" applyAlignment="1">
      <alignment horizontal="center" vertical="center" wrapText="1"/>
    </xf>
    <xf numFmtId="1" fontId="6" fillId="3" borderId="9" xfId="0" quotePrefix="1" applyNumberFormat="1" applyFont="1" applyFill="1" applyBorder="1" applyAlignment="1">
      <alignment horizontal="center" vertical="center"/>
    </xf>
    <xf numFmtId="1" fontId="6" fillId="2" borderId="8" xfId="0" quotePrefix="1"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6" fillId="2" borderId="8" xfId="0" quotePrefix="1" applyFont="1" applyFill="1" applyBorder="1" applyAlignment="1">
      <alignment horizontal="center" vertical="center"/>
    </xf>
    <xf numFmtId="0" fontId="0" fillId="2" borderId="6" xfId="0" applyFill="1" applyBorder="1" applyAlignment="1">
      <alignment horizontal="center" vertical="center" wrapText="1"/>
    </xf>
    <xf numFmtId="0" fontId="6" fillId="2" borderId="7" xfId="0" applyFont="1" applyFill="1" applyBorder="1" applyAlignment="1">
      <alignment horizontal="center" vertical="center" wrapText="1"/>
    </xf>
    <xf numFmtId="17" fontId="6" fillId="2" borderId="1" xfId="0" quotePrefix="1" applyNumberFormat="1" applyFont="1" applyFill="1" applyBorder="1" applyAlignment="1">
      <alignment horizontal="center" vertical="center"/>
    </xf>
    <xf numFmtId="1" fontId="6" fillId="2" borderId="1" xfId="0" quotePrefix="1" applyNumberFormat="1"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45" xfId="0" applyFont="1" applyFill="1" applyBorder="1" applyAlignment="1">
      <alignment horizontal="center" vertical="center"/>
    </xf>
    <xf numFmtId="0" fontId="0" fillId="2" borderId="7" xfId="0" applyFill="1" applyBorder="1" applyAlignment="1">
      <alignment horizontal="center" vertical="center" wrapText="1"/>
    </xf>
    <xf numFmtId="1" fontId="6" fillId="8" borderId="23" xfId="0" quotePrefix="1" applyNumberFormat="1" applyFont="1" applyFill="1" applyBorder="1" applyAlignment="1">
      <alignment horizontal="center" vertical="center"/>
    </xf>
    <xf numFmtId="1" fontId="6" fillId="8" borderId="1" xfId="0" applyNumberFormat="1" applyFont="1" applyFill="1" applyBorder="1" applyAlignment="1">
      <alignment horizontal="center" vertical="center"/>
    </xf>
    <xf numFmtId="0" fontId="6" fillId="8" borderId="23" xfId="0" quotePrefix="1" applyFont="1" applyFill="1" applyBorder="1" applyAlignment="1">
      <alignment horizontal="center" vertical="center"/>
    </xf>
    <xf numFmtId="0" fontId="6" fillId="8" borderId="1" xfId="0" applyFont="1" applyFill="1" applyBorder="1" applyAlignment="1">
      <alignment horizontal="center" vertical="center"/>
    </xf>
    <xf numFmtId="0" fontId="6" fillId="8" borderId="44"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23" xfId="0" applyFont="1" applyFill="1" applyBorder="1" applyAlignment="1">
      <alignment horizontal="center" vertical="center"/>
    </xf>
    <xf numFmtId="1" fontId="6" fillId="8" borderId="24" xfId="0" quotePrefix="1" applyNumberFormat="1" applyFont="1" applyFill="1" applyBorder="1" applyAlignment="1">
      <alignment horizontal="center" vertical="center"/>
    </xf>
    <xf numFmtId="1" fontId="6" fillId="8" borderId="25" xfId="0" applyNumberFormat="1" applyFont="1" applyFill="1" applyBorder="1" applyAlignment="1">
      <alignment horizontal="center" vertical="center"/>
    </xf>
    <xf numFmtId="1" fontId="6" fillId="3" borderId="46" xfId="0" applyNumberFormat="1" applyFont="1" applyFill="1" applyBorder="1" applyAlignment="1">
      <alignment horizontal="center" vertical="center"/>
    </xf>
    <xf numFmtId="0" fontId="0" fillId="8" borderId="33" xfId="0" applyFill="1" applyBorder="1" applyAlignment="1">
      <alignment horizontal="center" vertical="center" wrapText="1"/>
    </xf>
    <xf numFmtId="0" fontId="0" fillId="8" borderId="48" xfId="0" applyFill="1" applyBorder="1" applyAlignment="1">
      <alignment horizontal="center" vertical="center" wrapText="1"/>
    </xf>
    <xf numFmtId="0" fontId="0" fillId="8" borderId="34"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0" xfId="0" applyFill="1" applyBorder="1" applyAlignment="1">
      <alignment horizontal="center" vertical="center" wrapText="1"/>
    </xf>
    <xf numFmtId="0" fontId="0" fillId="8" borderId="49"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39"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41" xfId="0" applyFill="1" applyBorder="1" applyAlignment="1">
      <alignment horizontal="center" vertical="center"/>
    </xf>
    <xf numFmtId="0" fontId="0" fillId="8" borderId="43" xfId="0" applyFill="1" applyBorder="1" applyAlignment="1">
      <alignment horizontal="center" vertical="center"/>
    </xf>
    <xf numFmtId="0" fontId="0" fillId="8" borderId="42" xfId="0" applyFill="1" applyBorder="1" applyAlignment="1">
      <alignment horizontal="center" vertical="center"/>
    </xf>
    <xf numFmtId="0" fontId="6" fillId="8" borderId="2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23"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1" xfId="0" applyFill="1" applyBorder="1" applyAlignment="1">
      <alignment horizontal="center" vertical="center" wrapText="1"/>
    </xf>
    <xf numFmtId="0" fontId="6" fillId="2" borderId="45" xfId="0" applyFont="1" applyFill="1" applyBorder="1" applyAlignment="1">
      <alignment horizontal="center" vertical="center" wrapText="1"/>
    </xf>
    <xf numFmtId="1" fontId="6" fillId="2" borderId="7" xfId="0" applyNumberFormat="1" applyFont="1" applyFill="1" applyBorder="1" applyAlignment="1">
      <alignment horizontal="center" vertical="center"/>
    </xf>
    <xf numFmtId="0" fontId="6" fillId="8" borderId="52" xfId="0" applyFont="1" applyFill="1" applyBorder="1" applyAlignment="1">
      <alignment horizontal="center" vertical="center"/>
    </xf>
    <xf numFmtId="0" fontId="6" fillId="8" borderId="28"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51" xfId="0" applyFont="1" applyFill="1" applyBorder="1" applyAlignment="1">
      <alignment horizontal="center" vertical="center"/>
    </xf>
    <xf numFmtId="0" fontId="6" fillId="8" borderId="5" xfId="0" applyFont="1" applyFill="1" applyBorder="1" applyAlignment="1">
      <alignment horizontal="center" vertical="center"/>
    </xf>
    <xf numFmtId="1" fontId="6" fillId="8" borderId="1" xfId="0" quotePrefix="1" applyNumberFormat="1" applyFont="1" applyFill="1" applyBorder="1" applyAlignment="1">
      <alignment horizontal="center" vertical="center"/>
    </xf>
    <xf numFmtId="0" fontId="6" fillId="8" borderId="1" xfId="0" quotePrefix="1" applyFont="1" applyFill="1" applyBorder="1" applyAlignment="1">
      <alignment horizontal="center" vertical="center"/>
    </xf>
    <xf numFmtId="1" fontId="6" fillId="8" borderId="25" xfId="0" quotePrefix="1" applyNumberFormat="1" applyFont="1" applyFill="1" applyBorder="1" applyAlignment="1">
      <alignment horizontal="center" vertical="center"/>
    </xf>
    <xf numFmtId="0" fontId="6" fillId="8" borderId="47" xfId="0" applyFont="1" applyFill="1" applyBorder="1" applyAlignment="1">
      <alignment horizontal="center" vertical="center"/>
    </xf>
    <xf numFmtId="0" fontId="6" fillId="8" borderId="45" xfId="0" applyFont="1" applyFill="1" applyBorder="1" applyAlignment="1">
      <alignment horizontal="center" vertical="center"/>
    </xf>
    <xf numFmtId="0" fontId="6" fillId="8" borderId="24"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50"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26" xfId="0" applyFont="1" applyFill="1" applyBorder="1" applyAlignment="1">
      <alignment horizontal="center" vertical="center"/>
    </xf>
    <xf numFmtId="0" fontId="0" fillId="0" borderId="0" xfId="0" applyAlignment="1">
      <alignment horizontal="center"/>
    </xf>
    <xf numFmtId="0" fontId="2" fillId="0" borderId="6" xfId="0" applyFont="1" applyBorder="1" applyAlignment="1">
      <alignment horizontal="left" vertical="center"/>
    </xf>
    <xf numFmtId="0" fontId="0" fillId="0" borderId="62" xfId="0" applyBorder="1" applyAlignment="1">
      <alignment horizontal="left"/>
    </xf>
    <xf numFmtId="0" fontId="0" fillId="0" borderId="53" xfId="0" applyBorder="1" applyAlignment="1">
      <alignment horizontal="left"/>
    </xf>
    <xf numFmtId="0" fontId="0" fillId="0" borderId="18" xfId="0" applyBorder="1" applyAlignment="1">
      <alignment horizontal="left"/>
    </xf>
    <xf numFmtId="0" fontId="0" fillId="0" borderId="62" xfId="0" applyBorder="1" applyAlignment="1">
      <alignment horizontal="center"/>
    </xf>
    <xf numFmtId="0" fontId="0" fillId="0" borderId="53" xfId="0" applyBorder="1" applyAlignment="1">
      <alignment horizontal="center"/>
    </xf>
    <xf numFmtId="0" fontId="0" fillId="0" borderId="18" xfId="0" applyBorder="1" applyAlignment="1">
      <alignment horizontal="center"/>
    </xf>
    <xf numFmtId="0" fontId="2" fillId="0" borderId="1" xfId="0" applyFont="1" applyBorder="1" applyAlignment="1">
      <alignment horizontal="left" vertical="center"/>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colors>
    <mruColors>
      <color rgb="FF66FF66"/>
      <color rgb="FFFFCCCC"/>
      <color rgb="FFFFFFCC"/>
      <color rgb="FFFF0000"/>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BMH</c:v>
          </c:tx>
          <c:xVal>
            <c:numRef>
              <c:f>'(1) TDP-f''crec-CUMPL'!$I$4:$I$22</c:f>
              <c:numCache>
                <c:formatCode>General</c:formatCode>
                <c:ptCount val="1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numCache>
            </c:numRef>
          </c:xVal>
          <c:yVal>
            <c:numRef>
              <c:f>'(1) TDP-f''crec-CUMPL'!$K$4:$K$22</c:f>
              <c:numCache>
                <c:formatCode>General</c:formatCode>
                <c:ptCount val="19"/>
                <c:pt idx="0">
                  <c:v>18</c:v>
                </c:pt>
                <c:pt idx="1">
                  <c:v>17</c:v>
                </c:pt>
                <c:pt idx="2">
                  <c:v>16</c:v>
                </c:pt>
                <c:pt idx="3">
                  <c:v>15</c:v>
                </c:pt>
                <c:pt idx="4">
                  <c:v>14</c:v>
                </c:pt>
                <c:pt idx="5">
                  <c:v>13</c:v>
                </c:pt>
                <c:pt idx="6">
                  <c:v>12</c:v>
                </c:pt>
                <c:pt idx="7">
                  <c:v>11</c:v>
                </c:pt>
                <c:pt idx="8">
                  <c:v>10</c:v>
                </c:pt>
                <c:pt idx="9">
                  <c:v>9</c:v>
                </c:pt>
                <c:pt idx="10">
                  <c:v>8</c:v>
                </c:pt>
                <c:pt idx="11">
                  <c:v>7</c:v>
                </c:pt>
                <c:pt idx="12">
                  <c:v>6</c:v>
                </c:pt>
                <c:pt idx="13">
                  <c:v>5</c:v>
                </c:pt>
                <c:pt idx="14">
                  <c:v>4</c:v>
                </c:pt>
                <c:pt idx="15">
                  <c:v>3</c:v>
                </c:pt>
                <c:pt idx="16">
                  <c:v>2</c:v>
                </c:pt>
                <c:pt idx="17">
                  <c:v>1</c:v>
                </c:pt>
                <c:pt idx="18">
                  <c:v>0</c:v>
                </c:pt>
              </c:numCache>
            </c:numRef>
          </c:yVal>
          <c:smooth val="1"/>
        </c:ser>
        <c:ser>
          <c:idx val="0"/>
          <c:order val="1"/>
          <c:tx>
            <c:v>BML</c:v>
          </c:tx>
          <c:dLbls>
            <c:showLegendKey val="0"/>
            <c:showVal val="1"/>
            <c:showCatName val="0"/>
            <c:showSerName val="0"/>
            <c:showPercent val="0"/>
            <c:showBubbleSize val="0"/>
            <c:showLeaderLines val="0"/>
          </c:dLbls>
          <c:xVal>
            <c:numRef>
              <c:f>'(1) TDP-f''crec-CUMPL'!$I$4:$I$13</c:f>
              <c:numCache>
                <c:formatCode>General</c:formatCode>
                <c:ptCount val="10"/>
                <c:pt idx="0">
                  <c:v>0</c:v>
                </c:pt>
                <c:pt idx="1">
                  <c:v>1</c:v>
                </c:pt>
                <c:pt idx="2">
                  <c:v>2</c:v>
                </c:pt>
                <c:pt idx="3">
                  <c:v>3</c:v>
                </c:pt>
                <c:pt idx="4">
                  <c:v>4</c:v>
                </c:pt>
                <c:pt idx="5">
                  <c:v>5</c:v>
                </c:pt>
                <c:pt idx="6">
                  <c:v>6</c:v>
                </c:pt>
                <c:pt idx="7">
                  <c:v>7</c:v>
                </c:pt>
                <c:pt idx="8">
                  <c:v>8</c:v>
                </c:pt>
                <c:pt idx="9">
                  <c:v>9</c:v>
                </c:pt>
              </c:numCache>
            </c:numRef>
          </c:xVal>
          <c:yVal>
            <c:numRef>
              <c:f>'(1) TDP-f''crec-CUMPL'!$N$4:$N$13</c:f>
              <c:numCache>
                <c:formatCode>General</c:formatCode>
                <c:ptCount val="10"/>
                <c:pt idx="0">
                  <c:v>18</c:v>
                </c:pt>
                <c:pt idx="1">
                  <c:v>16</c:v>
                </c:pt>
                <c:pt idx="2">
                  <c:v>14</c:v>
                </c:pt>
                <c:pt idx="3">
                  <c:v>12</c:v>
                </c:pt>
                <c:pt idx="4">
                  <c:v>10</c:v>
                </c:pt>
                <c:pt idx="5">
                  <c:v>8</c:v>
                </c:pt>
                <c:pt idx="6">
                  <c:v>6</c:v>
                </c:pt>
                <c:pt idx="7">
                  <c:v>4</c:v>
                </c:pt>
                <c:pt idx="8">
                  <c:v>2</c:v>
                </c:pt>
                <c:pt idx="9">
                  <c:v>0</c:v>
                </c:pt>
              </c:numCache>
            </c:numRef>
          </c:yVal>
          <c:smooth val="1"/>
        </c:ser>
        <c:dLbls>
          <c:showLegendKey val="0"/>
          <c:showVal val="0"/>
          <c:showCatName val="0"/>
          <c:showSerName val="0"/>
          <c:showPercent val="0"/>
          <c:showBubbleSize val="0"/>
        </c:dLbls>
        <c:axId val="119442432"/>
        <c:axId val="119444224"/>
      </c:scatterChart>
      <c:valAx>
        <c:axId val="119442432"/>
        <c:scaling>
          <c:orientation val="minMax"/>
        </c:scaling>
        <c:delete val="0"/>
        <c:axPos val="b"/>
        <c:majorGridlines>
          <c:spPr>
            <a:ln>
              <a:solidFill>
                <a:schemeClr val="tx1"/>
              </a:solidFill>
              <a:prstDash val="dash"/>
            </a:ln>
          </c:spPr>
        </c:majorGridlines>
        <c:numFmt formatCode="General" sourceLinked="1"/>
        <c:majorTickMark val="out"/>
        <c:minorTickMark val="none"/>
        <c:tickLblPos val="nextTo"/>
        <c:crossAx val="119444224"/>
        <c:crosses val="autoZero"/>
        <c:crossBetween val="midCat"/>
        <c:majorUnit val="1"/>
      </c:valAx>
      <c:valAx>
        <c:axId val="119444224"/>
        <c:scaling>
          <c:orientation val="minMax"/>
        </c:scaling>
        <c:delete val="0"/>
        <c:axPos val="l"/>
        <c:majorGridlines/>
        <c:numFmt formatCode="General" sourceLinked="1"/>
        <c:majorTickMark val="out"/>
        <c:minorTickMark val="none"/>
        <c:tickLblPos val="nextTo"/>
        <c:crossAx val="119442432"/>
        <c:crosses val="autoZero"/>
        <c:crossBetween val="midCat"/>
        <c:majorUnit val="1"/>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78092278711104E-2"/>
          <c:y val="1.9200283613837393E-2"/>
          <c:w val="0.80784602315990561"/>
          <c:h val="0.89672183453371745"/>
        </c:manualLayout>
      </c:layout>
      <c:lineChart>
        <c:grouping val="standard"/>
        <c:varyColors val="0"/>
        <c:ser>
          <c:idx val="0"/>
          <c:order val="0"/>
          <c:tx>
            <c:strRef>
              <c:f>'4) TDP-f''const-VIOL'!$U$50</c:f>
              <c:strCache>
                <c:ptCount val="1"/>
              </c:strCache>
            </c:strRef>
          </c:tx>
          <c:dLbls>
            <c:showLegendKey val="0"/>
            <c:showVal val="1"/>
            <c:showCatName val="0"/>
            <c:showSerName val="0"/>
            <c:showPercent val="0"/>
            <c:showBubbleSize val="0"/>
            <c:showLeaderLines val="0"/>
          </c:dLbls>
          <c:val>
            <c:numRef>
              <c:f>'4) TDP-f''const-VIOL'!$U$51:$U$60</c:f>
              <c:numCache>
                <c:formatCode>General</c:formatCode>
                <c:ptCount val="10"/>
              </c:numCache>
            </c:numRef>
          </c:val>
          <c:smooth val="0"/>
        </c:ser>
        <c:ser>
          <c:idx val="1"/>
          <c:order val="1"/>
          <c:tx>
            <c:strRef>
              <c:f>'4) TDP-f''const-VIOL'!$V$50</c:f>
              <c:strCache>
                <c:ptCount val="1"/>
              </c:strCache>
            </c:strRef>
          </c:tx>
          <c:dLbls>
            <c:showLegendKey val="0"/>
            <c:showVal val="1"/>
            <c:showCatName val="0"/>
            <c:showSerName val="0"/>
            <c:showPercent val="0"/>
            <c:showBubbleSize val="0"/>
            <c:showLeaderLines val="0"/>
          </c:dLbls>
          <c:val>
            <c:numRef>
              <c:f>'4) TDP-f''const-VIOL'!$V$51:$V$57</c:f>
              <c:numCache>
                <c:formatCode>General</c:formatCode>
                <c:ptCount val="7"/>
              </c:numCache>
            </c:numRef>
          </c:val>
          <c:smooth val="0"/>
        </c:ser>
        <c:dLbls>
          <c:showLegendKey val="0"/>
          <c:showVal val="0"/>
          <c:showCatName val="0"/>
          <c:showSerName val="0"/>
          <c:showPercent val="0"/>
          <c:showBubbleSize val="0"/>
        </c:dLbls>
        <c:marker val="1"/>
        <c:smooth val="0"/>
        <c:axId val="120091008"/>
        <c:axId val="120092544"/>
      </c:lineChart>
      <c:catAx>
        <c:axId val="120091008"/>
        <c:scaling>
          <c:orientation val="minMax"/>
        </c:scaling>
        <c:delete val="0"/>
        <c:axPos val="b"/>
        <c:majorTickMark val="out"/>
        <c:minorTickMark val="none"/>
        <c:tickLblPos val="nextTo"/>
        <c:crossAx val="120092544"/>
        <c:crosses val="autoZero"/>
        <c:auto val="1"/>
        <c:lblAlgn val="ctr"/>
        <c:lblOffset val="100"/>
        <c:noMultiLvlLbl val="0"/>
      </c:catAx>
      <c:valAx>
        <c:axId val="120092544"/>
        <c:scaling>
          <c:orientation val="minMax"/>
        </c:scaling>
        <c:delete val="0"/>
        <c:axPos val="l"/>
        <c:majorGridlines/>
        <c:numFmt formatCode="General" sourceLinked="1"/>
        <c:majorTickMark val="out"/>
        <c:minorTickMark val="none"/>
        <c:tickLblPos val="nextTo"/>
        <c:crossAx val="120091008"/>
        <c:crosses val="autoZero"/>
        <c:crossBetween val="between"/>
        <c:majorUnit val="1"/>
      </c:valAx>
      <c:spPr>
        <a:noFill/>
        <a:ln w="25400">
          <a:noFill/>
        </a:ln>
      </c:spPr>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'4) TDP-f''const-VIOL'!$D$93</c:f>
              <c:strCache>
                <c:ptCount val="1"/>
              </c:strCache>
            </c:strRef>
          </c:tx>
          <c:val>
            <c:numRef>
              <c:f>'4) TDP-f''const-VIOL'!$D$94:$D$109</c:f>
              <c:numCache>
                <c:formatCode>General</c:formatCode>
                <c:ptCount val="16"/>
              </c:numCache>
            </c:numRef>
          </c:val>
          <c:smooth val="0"/>
        </c:ser>
        <c:ser>
          <c:idx val="1"/>
          <c:order val="1"/>
          <c:tx>
            <c:strRef>
              <c:f>'4) TDP-f''const-VIOL'!$F$93</c:f>
              <c:strCache>
                <c:ptCount val="1"/>
              </c:strCache>
            </c:strRef>
          </c:tx>
          <c:val>
            <c:numRef>
              <c:f>'4) TDP-f''const-VIOL'!$F$94:$F$97</c:f>
              <c:numCache>
                <c:formatCode>General</c:formatCode>
                <c:ptCount val="4"/>
              </c:numCache>
            </c:numRef>
          </c:val>
          <c:smooth val="0"/>
        </c:ser>
        <c:dLbls>
          <c:showLegendKey val="0"/>
          <c:showVal val="0"/>
          <c:showCatName val="0"/>
          <c:showSerName val="0"/>
          <c:showPercent val="0"/>
          <c:showBubbleSize val="0"/>
        </c:dLbls>
        <c:marker val="1"/>
        <c:smooth val="0"/>
        <c:axId val="120113408"/>
        <c:axId val="120135680"/>
      </c:lineChart>
      <c:catAx>
        <c:axId val="120113408"/>
        <c:scaling>
          <c:orientation val="minMax"/>
        </c:scaling>
        <c:delete val="0"/>
        <c:axPos val="b"/>
        <c:majorTickMark val="none"/>
        <c:minorTickMark val="none"/>
        <c:tickLblPos val="nextTo"/>
        <c:crossAx val="120135680"/>
        <c:crosses val="autoZero"/>
        <c:auto val="1"/>
        <c:lblAlgn val="ctr"/>
        <c:lblOffset val="100"/>
        <c:noMultiLvlLbl val="0"/>
      </c:catAx>
      <c:valAx>
        <c:axId val="120135680"/>
        <c:scaling>
          <c:orientation val="minMax"/>
          <c:max val="7.5"/>
          <c:min val="3.5"/>
        </c:scaling>
        <c:delete val="0"/>
        <c:axPos val="l"/>
        <c:majorGridlines/>
        <c:title>
          <c:overlay val="0"/>
        </c:title>
        <c:numFmt formatCode="General" sourceLinked="1"/>
        <c:majorTickMark val="none"/>
        <c:minorTickMark val="none"/>
        <c:tickLblPos val="nextTo"/>
        <c:crossAx val="120113408"/>
        <c:crosses val="autoZero"/>
        <c:crossBetween val="between"/>
      </c:valAx>
    </c:plotArea>
    <c:legend>
      <c:legendPos val="r"/>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0.15776647710702854"/>
          <c:w val="0.70617825896762909"/>
          <c:h val="0.65482210557013754"/>
        </c:manualLayout>
      </c:layout>
      <c:lineChart>
        <c:grouping val="standard"/>
        <c:varyColors val="0"/>
        <c:ser>
          <c:idx val="0"/>
          <c:order val="0"/>
          <c:tx>
            <c:v>Induce Cumplimiento</c:v>
          </c:tx>
          <c:val>
            <c:numRef>
              <c:f>'Cálculos multa esperada margina'!$G$4:$G$22</c:f>
              <c:numCache>
                <c:formatCode>General</c:formatCode>
                <c:ptCount val="19"/>
                <c:pt idx="0">
                  <c:v>13.250999999999999</c:v>
                </c:pt>
                <c:pt idx="1">
                  <c:v>14.251999999999999</c:v>
                </c:pt>
                <c:pt idx="2">
                  <c:v>15.252999999999998</c:v>
                </c:pt>
                <c:pt idx="3">
                  <c:v>16.253999999999998</c:v>
                </c:pt>
                <c:pt idx="4">
                  <c:v>17.254999999999999</c:v>
                </c:pt>
                <c:pt idx="5">
                  <c:v>18.255999999999997</c:v>
                </c:pt>
                <c:pt idx="6">
                  <c:v>19.256999999999998</c:v>
                </c:pt>
                <c:pt idx="7">
                  <c:v>20.257999999999996</c:v>
                </c:pt>
                <c:pt idx="8">
                  <c:v>21.258999999999997</c:v>
                </c:pt>
                <c:pt idx="9">
                  <c:v>22.259999999999998</c:v>
                </c:pt>
                <c:pt idx="10">
                  <c:v>23.260999999999996</c:v>
                </c:pt>
                <c:pt idx="11">
                  <c:v>24.261999999999997</c:v>
                </c:pt>
                <c:pt idx="12">
                  <c:v>25.263000000000002</c:v>
                </c:pt>
                <c:pt idx="13">
                  <c:v>26.263999999999996</c:v>
                </c:pt>
                <c:pt idx="14">
                  <c:v>27.265000000000001</c:v>
                </c:pt>
                <c:pt idx="15">
                  <c:v>28.265999999999995</c:v>
                </c:pt>
                <c:pt idx="16">
                  <c:v>29.266999999999999</c:v>
                </c:pt>
                <c:pt idx="17">
                  <c:v>30.267999999999994</c:v>
                </c:pt>
                <c:pt idx="18">
                  <c:v>31.268999999999998</c:v>
                </c:pt>
              </c:numCache>
            </c:numRef>
          </c:val>
          <c:smooth val="0"/>
        </c:ser>
        <c:ser>
          <c:idx val="1"/>
          <c:order val="1"/>
          <c:tx>
            <c:v>Induce Violaciones</c:v>
          </c:tx>
          <c:val>
            <c:numRef>
              <c:f>'Cálculos multa esperada margina'!$G$24:$G$42</c:f>
              <c:numCache>
                <c:formatCode>General</c:formatCode>
                <c:ptCount val="19"/>
                <c:pt idx="0">
                  <c:v>1.7150000000000001</c:v>
                </c:pt>
                <c:pt idx="1">
                  <c:v>2.73</c:v>
                </c:pt>
                <c:pt idx="2">
                  <c:v>3.7449999999999997</c:v>
                </c:pt>
                <c:pt idx="3">
                  <c:v>4.76</c:v>
                </c:pt>
                <c:pt idx="4">
                  <c:v>5.7749999999999995</c:v>
                </c:pt>
                <c:pt idx="5">
                  <c:v>6.7899999999999991</c:v>
                </c:pt>
                <c:pt idx="6">
                  <c:v>7.8049999999999997</c:v>
                </c:pt>
                <c:pt idx="7">
                  <c:v>8.8199999999999985</c:v>
                </c:pt>
                <c:pt idx="8">
                  <c:v>9.8349999999999991</c:v>
                </c:pt>
                <c:pt idx="9">
                  <c:v>10.85</c:v>
                </c:pt>
                <c:pt idx="10">
                  <c:v>11.864999999999998</c:v>
                </c:pt>
                <c:pt idx="11">
                  <c:v>12.879999999999999</c:v>
                </c:pt>
                <c:pt idx="12">
                  <c:v>13.894999999999998</c:v>
                </c:pt>
                <c:pt idx="13">
                  <c:v>14.91</c:v>
                </c:pt>
                <c:pt idx="14">
                  <c:v>15.924999999999999</c:v>
                </c:pt>
                <c:pt idx="15">
                  <c:v>16.939999999999998</c:v>
                </c:pt>
                <c:pt idx="16">
                  <c:v>17.954999999999998</c:v>
                </c:pt>
                <c:pt idx="17">
                  <c:v>18.97</c:v>
                </c:pt>
                <c:pt idx="18">
                  <c:v>19.984999999999999</c:v>
                </c:pt>
              </c:numCache>
            </c:numRef>
          </c:val>
          <c:smooth val="0"/>
        </c:ser>
        <c:ser>
          <c:idx val="2"/>
          <c:order val="2"/>
          <c:tx>
            <c:v>Induce Violaciones Marginal Constante</c:v>
          </c:tx>
          <c:val>
            <c:numRef>
              <c:f>'Cálculos multa esperada margina'!$G$44:$G$57</c:f>
              <c:numCache>
                <c:formatCode>General</c:formatCode>
                <c:ptCount val="14"/>
                <c:pt idx="0">
                  <c:v>6.7899999999999991</c:v>
                </c:pt>
                <c:pt idx="1">
                  <c:v>6.7899999999999991</c:v>
                </c:pt>
                <c:pt idx="2">
                  <c:v>6.7899999999999991</c:v>
                </c:pt>
                <c:pt idx="3">
                  <c:v>6.7899999999999991</c:v>
                </c:pt>
                <c:pt idx="4">
                  <c:v>6.7899999999999991</c:v>
                </c:pt>
                <c:pt idx="5">
                  <c:v>6.7899999999999991</c:v>
                </c:pt>
                <c:pt idx="6">
                  <c:v>6.7899999999999991</c:v>
                </c:pt>
                <c:pt idx="7">
                  <c:v>6.7899999999999991</c:v>
                </c:pt>
                <c:pt idx="8">
                  <c:v>6.7899999999999991</c:v>
                </c:pt>
                <c:pt idx="9">
                  <c:v>6.7899999999999991</c:v>
                </c:pt>
                <c:pt idx="10">
                  <c:v>6.7899999999999991</c:v>
                </c:pt>
                <c:pt idx="11">
                  <c:v>6.7899999999999991</c:v>
                </c:pt>
                <c:pt idx="12">
                  <c:v>6.7899999999999991</c:v>
                </c:pt>
                <c:pt idx="13">
                  <c:v>6.7899999999999991</c:v>
                </c:pt>
              </c:numCache>
            </c:numRef>
          </c:val>
          <c:smooth val="0"/>
        </c:ser>
        <c:dLbls>
          <c:showLegendKey val="0"/>
          <c:showVal val="0"/>
          <c:showCatName val="0"/>
          <c:showSerName val="0"/>
          <c:showPercent val="0"/>
          <c:showBubbleSize val="0"/>
        </c:dLbls>
        <c:marker val="1"/>
        <c:smooth val="0"/>
        <c:axId val="120195328"/>
        <c:axId val="120197120"/>
      </c:lineChart>
      <c:catAx>
        <c:axId val="120195328"/>
        <c:scaling>
          <c:orientation val="minMax"/>
        </c:scaling>
        <c:delete val="0"/>
        <c:axPos val="b"/>
        <c:majorTickMark val="out"/>
        <c:minorTickMark val="none"/>
        <c:tickLblPos val="nextTo"/>
        <c:crossAx val="120197120"/>
        <c:crosses val="autoZero"/>
        <c:auto val="1"/>
        <c:lblAlgn val="ctr"/>
        <c:lblOffset val="100"/>
        <c:noMultiLvlLbl val="0"/>
      </c:catAx>
      <c:valAx>
        <c:axId val="120197120"/>
        <c:scaling>
          <c:orientation val="minMax"/>
          <c:max val="20"/>
        </c:scaling>
        <c:delete val="0"/>
        <c:axPos val="l"/>
        <c:majorGridlines/>
        <c:numFmt formatCode="General" sourceLinked="1"/>
        <c:majorTickMark val="out"/>
        <c:minorTickMark val="none"/>
        <c:tickLblPos val="nextTo"/>
        <c:crossAx val="120195328"/>
        <c:crosses val="autoZero"/>
        <c:crossBetween val="between"/>
        <c:majorUnit val="1"/>
      </c:valAx>
    </c:plotArea>
    <c:legend>
      <c:legendPos val="r"/>
      <c:layout>
        <c:manualLayout>
          <c:xMode val="edge"/>
          <c:yMode val="edge"/>
          <c:x val="0.65747222222222224"/>
          <c:y val="0.24035688247302431"/>
          <c:w val="0.32586111111111132"/>
          <c:h val="0.41896981627296614"/>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5.1400554097404488E-2"/>
          <c:w val="0.88476859142607178"/>
          <c:h val="0.79822506561679785"/>
        </c:manualLayout>
      </c:layout>
      <c:scatterChart>
        <c:scatterStyle val="smoothMarker"/>
        <c:varyColors val="0"/>
        <c:ser>
          <c:idx val="0"/>
          <c:order val="0"/>
          <c:tx>
            <c:strRef>
              <c:f>'STD-f''creciente-VIOL'!$C$10</c:f>
              <c:strCache>
                <c:ptCount val="1"/>
                <c:pt idx="0">
                  <c:v>bH</c:v>
                </c:pt>
              </c:strCache>
            </c:strRef>
          </c:tx>
          <c:xVal>
            <c:numRef>
              <c:f>'STD-f''creciente-VIOL'!$B$11:$B$27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'STD-f''creciente-VIOL'!$C$11:$C$27</c:f>
              <c:numCache>
                <c:formatCode>General</c:formatCode>
                <c:ptCount val="17"/>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numCache>
            </c:numRef>
          </c:yVal>
          <c:smooth val="1"/>
        </c:ser>
        <c:ser>
          <c:idx val="1"/>
          <c:order val="1"/>
          <c:tx>
            <c:strRef>
              <c:f>'STD-f''creciente-VIOL'!$D$10</c:f>
              <c:strCache>
                <c:ptCount val="1"/>
                <c:pt idx="0">
                  <c:v>bL</c:v>
                </c:pt>
              </c:strCache>
            </c:strRef>
          </c:tx>
          <c:xVal>
            <c:numRef>
              <c:f>'STD-f''creciente-VIOL'!$B$11:$B$27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'STD-f''creciente-VIOL'!$D$11:$D$18</c:f>
              <c:numCache>
                <c:formatCode>General</c:formatCode>
                <c:ptCount val="8"/>
                <c:pt idx="0">
                  <c:v>16</c:v>
                </c:pt>
                <c:pt idx="1">
                  <c:v>14</c:v>
                </c:pt>
                <c:pt idx="2">
                  <c:v>12</c:v>
                </c:pt>
                <c:pt idx="3">
                  <c:v>10</c:v>
                </c:pt>
                <c:pt idx="4">
                  <c:v>8</c:v>
                </c:pt>
                <c:pt idx="5">
                  <c:v>6</c:v>
                </c:pt>
                <c:pt idx="6">
                  <c:v>4</c:v>
                </c:pt>
                <c:pt idx="7">
                  <c:v>2</c:v>
                </c:pt>
              </c:numCache>
            </c:numRef>
          </c:yVal>
          <c:smooth val="1"/>
        </c:ser>
        <c:ser>
          <c:idx val="2"/>
          <c:order val="2"/>
          <c:tx>
            <c:strRef>
              <c:f>'STD-f''creciente-VIOL'!$E$10</c:f>
              <c:strCache>
                <c:ptCount val="1"/>
                <c:pt idx="0">
                  <c:v>EMPH</c:v>
                </c:pt>
              </c:strCache>
            </c:strRef>
          </c:tx>
          <c:spPr>
            <a:ln>
              <a:solidFill>
                <a:schemeClr val="accent1"/>
              </a:solidFill>
            </a:ln>
          </c:spPr>
          <c:marker>
            <c:symbol val="triangle"/>
            <c:size val="7"/>
            <c:spPr>
              <a:solidFill>
                <a:schemeClr val="accent1"/>
              </a:solidFill>
              <a:ln>
                <a:solidFill>
                  <a:srgbClr val="4F81BD"/>
                </a:solidFill>
              </a:ln>
            </c:spPr>
          </c:marker>
          <c:xVal>
            <c:numRef>
              <c:f>'STD-f''creciente-VIOL'!$B$14:$B$27</c:f>
              <c:numCache>
                <c:formatCode>General</c:formatCode>
                <c:ptCount val="14"/>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numCache>
            </c:numRef>
          </c:xVal>
          <c:yVal>
            <c:numRef>
              <c:f>'STD-f''creciente-VIOL'!$E$14:$E$27</c:f>
              <c:numCache>
                <c:formatCode>General</c:formatCode>
                <c:ptCount val="14"/>
                <c:pt idx="0">
                  <c:v>1.2004999999999999</c:v>
                </c:pt>
                <c:pt idx="1">
                  <c:v>1.7009999999999996</c:v>
                </c:pt>
                <c:pt idx="2">
                  <c:v>2.2014999999999998</c:v>
                </c:pt>
                <c:pt idx="3">
                  <c:v>2.702</c:v>
                </c:pt>
                <c:pt idx="4">
                  <c:v>3.2024999999999992</c:v>
                </c:pt>
                <c:pt idx="5">
                  <c:v>3.7029999999999998</c:v>
                </c:pt>
                <c:pt idx="6">
                  <c:v>4.2035</c:v>
                </c:pt>
                <c:pt idx="7">
                  <c:v>4.7039999999999997</c:v>
                </c:pt>
                <c:pt idx="8">
                  <c:v>5.2044999999999995</c:v>
                </c:pt>
                <c:pt idx="9">
                  <c:v>5.7049999999999983</c:v>
                </c:pt>
                <c:pt idx="10">
                  <c:v>6.2054999999999989</c:v>
                </c:pt>
                <c:pt idx="11">
                  <c:v>6.7059999999999995</c:v>
                </c:pt>
                <c:pt idx="12">
                  <c:v>7.2064999999999992</c:v>
                </c:pt>
                <c:pt idx="13">
                  <c:v>7.706999999999999</c:v>
                </c:pt>
              </c:numCache>
            </c:numRef>
          </c:yVal>
          <c:smooth val="1"/>
        </c:ser>
        <c:ser>
          <c:idx val="3"/>
          <c:order val="3"/>
          <c:tx>
            <c:strRef>
              <c:f>'STD-f''creciente-VIOL'!$F$10</c:f>
              <c:strCache>
                <c:ptCount val="1"/>
                <c:pt idx="0">
                  <c:v>EMPL</c:v>
                </c:pt>
              </c:strCache>
            </c:strRef>
          </c:tx>
          <c:spPr>
            <a:ln>
              <a:solidFill>
                <a:srgbClr val="CC0000"/>
              </a:solidFill>
            </a:ln>
          </c:spPr>
          <c:marker>
            <c:spPr>
              <a:solidFill>
                <a:srgbClr val="C00000"/>
              </a:solidFill>
            </c:spPr>
          </c:marker>
          <c:xVal>
            <c:numRef>
              <c:f>'STD-f''creciente-VIOL'!$B$15:$B$27</c:f>
              <c:numCache>
                <c:formatCode>General</c:formatCode>
                <c:ptCount val="13"/>
                <c:pt idx="0">
                  <c:v>5</c:v>
                </c:pt>
                <c:pt idx="1">
                  <c:v>6</c:v>
                </c:pt>
                <c:pt idx="2">
                  <c:v>7</c:v>
                </c:pt>
                <c:pt idx="3">
                  <c:v>8</c:v>
                </c:pt>
                <c:pt idx="4">
                  <c:v>9</c:v>
                </c:pt>
                <c:pt idx="5">
                  <c:v>10</c:v>
                </c:pt>
                <c:pt idx="6">
                  <c:v>11</c:v>
                </c:pt>
                <c:pt idx="7">
                  <c:v>12</c:v>
                </c:pt>
                <c:pt idx="8">
                  <c:v>13</c:v>
                </c:pt>
                <c:pt idx="9">
                  <c:v>14</c:v>
                </c:pt>
                <c:pt idx="10">
                  <c:v>15</c:v>
                </c:pt>
                <c:pt idx="11">
                  <c:v>16</c:v>
                </c:pt>
                <c:pt idx="12">
                  <c:v>17</c:v>
                </c:pt>
              </c:numCache>
            </c:numRef>
          </c:xVal>
          <c:yVal>
            <c:numRef>
              <c:f>'STD-f''creciente-VIOL'!$F$15:$F$27</c:f>
              <c:numCache>
                <c:formatCode>General</c:formatCode>
                <c:ptCount val="13"/>
                <c:pt idx="0">
                  <c:v>1.2004999999999999</c:v>
                </c:pt>
                <c:pt idx="1">
                  <c:v>1.7009999999999996</c:v>
                </c:pt>
                <c:pt idx="2">
                  <c:v>2.2014999999999998</c:v>
                </c:pt>
                <c:pt idx="3">
                  <c:v>2.702</c:v>
                </c:pt>
              </c:numCache>
            </c:numRef>
          </c:yVal>
          <c:smooth val="1"/>
        </c:ser>
        <c:dLbls>
          <c:showLegendKey val="0"/>
          <c:showVal val="0"/>
          <c:showCatName val="0"/>
          <c:showSerName val="0"/>
          <c:showPercent val="0"/>
          <c:showBubbleSize val="0"/>
        </c:dLbls>
        <c:axId val="120277248"/>
        <c:axId val="120287616"/>
      </c:scatterChart>
      <c:valAx>
        <c:axId val="120277248"/>
        <c:scaling>
          <c:orientation val="minMax"/>
        </c:scaling>
        <c:delete val="0"/>
        <c:axPos val="b"/>
        <c:numFmt formatCode="General" sourceLinked="1"/>
        <c:majorTickMark val="out"/>
        <c:minorTickMark val="none"/>
        <c:tickLblPos val="nextTo"/>
        <c:crossAx val="120287616"/>
        <c:crosses val="autoZero"/>
        <c:crossBetween val="midCat"/>
        <c:majorUnit val="1"/>
      </c:valAx>
      <c:valAx>
        <c:axId val="120287616"/>
        <c:scaling>
          <c:orientation val="minMax"/>
        </c:scaling>
        <c:delete val="0"/>
        <c:axPos val="l"/>
        <c:majorGridlines/>
        <c:numFmt formatCode="General" sourceLinked="1"/>
        <c:majorTickMark val="out"/>
        <c:minorTickMark val="none"/>
        <c:tickLblPos val="nextTo"/>
        <c:crossAx val="120277248"/>
        <c:crosses val="autoZero"/>
        <c:crossBetween val="midCat"/>
      </c:valAx>
    </c:plotArea>
    <c:legend>
      <c:legendPos val="r"/>
      <c:layout>
        <c:manualLayout>
          <c:xMode val="edge"/>
          <c:yMode val="edge"/>
          <c:x val="0.65880555555555642"/>
          <c:y val="4.1593400824896931E-2"/>
          <c:w val="0.15230555555555556"/>
          <c:h val="0.40633640794900677"/>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5.1400554097404488E-2"/>
          <c:w val="0.88476859142607178"/>
          <c:h val="0.79822506561679785"/>
        </c:manualLayout>
      </c:layout>
      <c:scatterChart>
        <c:scatterStyle val="smoothMarker"/>
        <c:varyColors val="0"/>
        <c:ser>
          <c:idx val="0"/>
          <c:order val="0"/>
          <c:tx>
            <c:strRef>
              <c:f>'5) STD-f''creciente-CUMPL'!$C$10</c:f>
              <c:strCache>
                <c:ptCount val="1"/>
                <c:pt idx="0">
                  <c:v>bH</c:v>
                </c:pt>
              </c:strCache>
            </c:strRef>
          </c:tx>
          <c:xVal>
            <c:numRef>
              <c:f>'5) STD-f''creciente-CUMPL'!$B$11:$B$27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'5) STD-f''creciente-CUMPL'!$C$11:$C$27</c:f>
              <c:numCache>
                <c:formatCode>General</c:formatCode>
                <c:ptCount val="17"/>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numCache>
            </c:numRef>
          </c:yVal>
          <c:smooth val="1"/>
        </c:ser>
        <c:ser>
          <c:idx val="1"/>
          <c:order val="1"/>
          <c:tx>
            <c:strRef>
              <c:f>'5) STD-f''creciente-CUMPL'!$D$10</c:f>
              <c:strCache>
                <c:ptCount val="1"/>
                <c:pt idx="0">
                  <c:v>bL</c:v>
                </c:pt>
              </c:strCache>
            </c:strRef>
          </c:tx>
          <c:xVal>
            <c:numRef>
              <c:f>'5) STD-f''creciente-CUMPL'!$B$11:$B$27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'5) STD-f''creciente-CUMPL'!$D$11:$D$18</c:f>
              <c:numCache>
                <c:formatCode>General</c:formatCode>
                <c:ptCount val="8"/>
                <c:pt idx="0">
                  <c:v>16</c:v>
                </c:pt>
                <c:pt idx="1">
                  <c:v>14</c:v>
                </c:pt>
                <c:pt idx="2">
                  <c:v>12</c:v>
                </c:pt>
                <c:pt idx="3">
                  <c:v>10</c:v>
                </c:pt>
                <c:pt idx="4">
                  <c:v>8</c:v>
                </c:pt>
                <c:pt idx="5">
                  <c:v>6</c:v>
                </c:pt>
                <c:pt idx="6">
                  <c:v>4</c:v>
                </c:pt>
                <c:pt idx="7">
                  <c:v>2</c:v>
                </c:pt>
              </c:numCache>
            </c:numRef>
          </c:yVal>
          <c:smooth val="1"/>
        </c:ser>
        <c:ser>
          <c:idx val="2"/>
          <c:order val="2"/>
          <c:tx>
            <c:strRef>
              <c:f>'5) STD-f''creciente-CUMPL'!$E$10</c:f>
              <c:strCache>
                <c:ptCount val="1"/>
                <c:pt idx="0">
                  <c:v>EMPH</c:v>
                </c:pt>
              </c:strCache>
            </c:strRef>
          </c:tx>
          <c:spPr>
            <a:ln>
              <a:solidFill>
                <a:schemeClr val="accent1"/>
              </a:solidFill>
            </a:ln>
          </c:spPr>
          <c:marker>
            <c:symbol val="triangle"/>
            <c:size val="7"/>
            <c:spPr>
              <a:solidFill>
                <a:schemeClr val="accent1"/>
              </a:solidFill>
              <a:ln>
                <a:solidFill>
                  <a:srgbClr val="4F81BD"/>
                </a:solidFill>
              </a:ln>
            </c:spPr>
          </c:marker>
          <c:xVal>
            <c:numRef>
              <c:f>'5) STD-f''creciente-CUMPL'!$B$14:$B$27</c:f>
              <c:numCache>
                <c:formatCode>General</c:formatCode>
                <c:ptCount val="14"/>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numCache>
            </c:numRef>
          </c:xVal>
          <c:yVal>
            <c:numRef>
              <c:f>'5) STD-f''creciente-CUMPL'!$E$14:$E$27</c:f>
              <c:numCache>
                <c:formatCode>General</c:formatCode>
                <c:ptCount val="14"/>
                <c:pt idx="0">
                  <c:v>17.100999999999999</c:v>
                </c:pt>
                <c:pt idx="1">
                  <c:v>18.101999999999997</c:v>
                </c:pt>
                <c:pt idx="2">
                  <c:v>19.102999999999998</c:v>
                </c:pt>
                <c:pt idx="3">
                  <c:v>20.103999999999999</c:v>
                </c:pt>
                <c:pt idx="4">
                  <c:v>21.104999999999997</c:v>
                </c:pt>
                <c:pt idx="5">
                  <c:v>22.105999999999998</c:v>
                </c:pt>
                <c:pt idx="6">
                  <c:v>23.106999999999996</c:v>
                </c:pt>
                <c:pt idx="7">
                  <c:v>24.107999999999997</c:v>
                </c:pt>
                <c:pt idx="8">
                  <c:v>25.108999999999998</c:v>
                </c:pt>
                <c:pt idx="9">
                  <c:v>26.109999999999996</c:v>
                </c:pt>
                <c:pt idx="10">
                  <c:v>27.110999999999997</c:v>
                </c:pt>
                <c:pt idx="11">
                  <c:v>28.111999999999995</c:v>
                </c:pt>
                <c:pt idx="12">
                  <c:v>29.113</c:v>
                </c:pt>
                <c:pt idx="13">
                  <c:v>30.113999999999994</c:v>
                </c:pt>
              </c:numCache>
            </c:numRef>
          </c:yVal>
          <c:smooth val="1"/>
        </c:ser>
        <c:ser>
          <c:idx val="3"/>
          <c:order val="3"/>
          <c:tx>
            <c:strRef>
              <c:f>'5) STD-f''creciente-CUMPL'!$F$10</c:f>
              <c:strCache>
                <c:ptCount val="1"/>
                <c:pt idx="0">
                  <c:v>EMPL</c:v>
                </c:pt>
              </c:strCache>
            </c:strRef>
          </c:tx>
          <c:spPr>
            <a:ln>
              <a:solidFill>
                <a:srgbClr val="CC0000"/>
              </a:solidFill>
            </a:ln>
          </c:spPr>
          <c:marker>
            <c:spPr>
              <a:solidFill>
                <a:srgbClr val="C00000"/>
              </a:solidFill>
            </c:spPr>
          </c:marker>
          <c:xVal>
            <c:numRef>
              <c:f>'5) STD-f''creciente-CUMPL'!$B$15:$B$27</c:f>
              <c:numCache>
                <c:formatCode>General</c:formatCode>
                <c:ptCount val="13"/>
                <c:pt idx="0">
                  <c:v>5</c:v>
                </c:pt>
                <c:pt idx="1">
                  <c:v>6</c:v>
                </c:pt>
                <c:pt idx="2">
                  <c:v>7</c:v>
                </c:pt>
                <c:pt idx="3">
                  <c:v>8</c:v>
                </c:pt>
                <c:pt idx="4">
                  <c:v>9</c:v>
                </c:pt>
                <c:pt idx="5">
                  <c:v>10</c:v>
                </c:pt>
                <c:pt idx="6">
                  <c:v>11</c:v>
                </c:pt>
                <c:pt idx="7">
                  <c:v>12</c:v>
                </c:pt>
                <c:pt idx="8">
                  <c:v>13</c:v>
                </c:pt>
                <c:pt idx="9">
                  <c:v>14</c:v>
                </c:pt>
                <c:pt idx="10">
                  <c:v>15</c:v>
                </c:pt>
                <c:pt idx="11">
                  <c:v>16</c:v>
                </c:pt>
                <c:pt idx="12">
                  <c:v>17</c:v>
                </c:pt>
              </c:numCache>
            </c:numRef>
          </c:xVal>
          <c:yVal>
            <c:numRef>
              <c:f>'5) STD-f''creciente-CUMPL'!$F$15:$F$27</c:f>
              <c:numCache>
                <c:formatCode>General</c:formatCode>
                <c:ptCount val="13"/>
                <c:pt idx="0">
                  <c:v>17.100999999999999</c:v>
                </c:pt>
                <c:pt idx="1">
                  <c:v>18.101999999999997</c:v>
                </c:pt>
                <c:pt idx="2">
                  <c:v>19.102999999999998</c:v>
                </c:pt>
                <c:pt idx="3">
                  <c:v>20.103999999999999</c:v>
                </c:pt>
              </c:numCache>
            </c:numRef>
          </c:yVal>
          <c:smooth val="1"/>
        </c:ser>
        <c:dLbls>
          <c:showLegendKey val="0"/>
          <c:showVal val="0"/>
          <c:showCatName val="0"/>
          <c:showSerName val="0"/>
          <c:showPercent val="0"/>
          <c:showBubbleSize val="0"/>
        </c:dLbls>
        <c:axId val="137372032"/>
        <c:axId val="137373952"/>
      </c:scatterChart>
      <c:valAx>
        <c:axId val="137372032"/>
        <c:scaling>
          <c:orientation val="minMax"/>
        </c:scaling>
        <c:delete val="0"/>
        <c:axPos val="b"/>
        <c:numFmt formatCode="General" sourceLinked="1"/>
        <c:majorTickMark val="out"/>
        <c:minorTickMark val="none"/>
        <c:tickLblPos val="nextTo"/>
        <c:crossAx val="137373952"/>
        <c:crosses val="autoZero"/>
        <c:crossBetween val="midCat"/>
        <c:majorUnit val="1"/>
      </c:valAx>
      <c:valAx>
        <c:axId val="137373952"/>
        <c:scaling>
          <c:orientation val="minMax"/>
          <c:max val="20"/>
        </c:scaling>
        <c:delete val="0"/>
        <c:axPos val="l"/>
        <c:majorGridlines/>
        <c:numFmt formatCode="General" sourceLinked="1"/>
        <c:majorTickMark val="out"/>
        <c:minorTickMark val="none"/>
        <c:tickLblPos val="nextTo"/>
        <c:crossAx val="137372032"/>
        <c:crosses val="autoZero"/>
        <c:crossBetween val="midCat"/>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5.1400554097404488E-2"/>
          <c:w val="0.88476859142607178"/>
          <c:h val="0.79822506561679785"/>
        </c:manualLayout>
      </c:layout>
      <c:scatterChart>
        <c:scatterStyle val="smoothMarker"/>
        <c:varyColors val="0"/>
        <c:ser>
          <c:idx val="0"/>
          <c:order val="0"/>
          <c:tx>
            <c:strRef>
              <c:f>'6) STD-f''const-CUMPL'!$C$10</c:f>
              <c:strCache>
                <c:ptCount val="1"/>
                <c:pt idx="0">
                  <c:v>bH</c:v>
                </c:pt>
              </c:strCache>
            </c:strRef>
          </c:tx>
          <c:xVal>
            <c:numRef>
              <c:f>'6) STD-f''const-CUMPL'!$B$11:$B$27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'6) STD-f''const-CUMPL'!$C$11:$C$27</c:f>
              <c:numCache>
                <c:formatCode>General</c:formatCode>
                <c:ptCount val="17"/>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numCache>
            </c:numRef>
          </c:yVal>
          <c:smooth val="1"/>
        </c:ser>
        <c:ser>
          <c:idx val="1"/>
          <c:order val="1"/>
          <c:tx>
            <c:strRef>
              <c:f>'6) STD-f''const-CUMPL'!$D$10</c:f>
              <c:strCache>
                <c:ptCount val="1"/>
                <c:pt idx="0">
                  <c:v>bL</c:v>
                </c:pt>
              </c:strCache>
            </c:strRef>
          </c:tx>
          <c:xVal>
            <c:numRef>
              <c:f>'6) STD-f''const-CUMPL'!$B$11:$B$27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'6) STD-f''const-CUMPL'!$D$11:$D$18</c:f>
              <c:numCache>
                <c:formatCode>General</c:formatCode>
                <c:ptCount val="8"/>
                <c:pt idx="0">
                  <c:v>16</c:v>
                </c:pt>
                <c:pt idx="1">
                  <c:v>14</c:v>
                </c:pt>
                <c:pt idx="2">
                  <c:v>12</c:v>
                </c:pt>
                <c:pt idx="3">
                  <c:v>10</c:v>
                </c:pt>
                <c:pt idx="4">
                  <c:v>8</c:v>
                </c:pt>
                <c:pt idx="5">
                  <c:v>6</c:v>
                </c:pt>
                <c:pt idx="6">
                  <c:v>4</c:v>
                </c:pt>
                <c:pt idx="7">
                  <c:v>2</c:v>
                </c:pt>
              </c:numCache>
            </c:numRef>
          </c:yVal>
          <c:smooth val="1"/>
        </c:ser>
        <c:ser>
          <c:idx val="2"/>
          <c:order val="2"/>
          <c:tx>
            <c:strRef>
              <c:f>'6) STD-f''const-CUMPL'!$E$10</c:f>
              <c:strCache>
                <c:ptCount val="1"/>
                <c:pt idx="0">
                  <c:v>EMPH</c:v>
                </c:pt>
              </c:strCache>
            </c:strRef>
          </c:tx>
          <c:spPr>
            <a:ln>
              <a:solidFill>
                <a:schemeClr val="accent1"/>
              </a:solidFill>
            </a:ln>
          </c:spPr>
          <c:marker>
            <c:symbol val="triangle"/>
            <c:size val="7"/>
            <c:spPr>
              <a:solidFill>
                <a:schemeClr val="accent1"/>
              </a:solidFill>
              <a:ln>
                <a:solidFill>
                  <a:srgbClr val="4F81BD"/>
                </a:solidFill>
              </a:ln>
            </c:spPr>
          </c:marker>
          <c:xVal>
            <c:numRef>
              <c:f>'6) STD-f''const-CUMPL'!$B$14:$B$27</c:f>
              <c:numCache>
                <c:formatCode>General</c:formatCode>
                <c:ptCount val="14"/>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numCache>
            </c:numRef>
          </c:xVal>
          <c:yVal>
            <c:numRef>
              <c:f>'6) STD-f''const-CUMPL'!$E$14:$E$27</c:f>
              <c:numCache>
                <c:formatCode>General</c:formatCode>
                <c:ptCount val="14"/>
                <c:pt idx="0">
                  <c:v>16.099999999999998</c:v>
                </c:pt>
                <c:pt idx="1">
                  <c:v>16.099999999999998</c:v>
                </c:pt>
                <c:pt idx="2">
                  <c:v>16.099999999999998</c:v>
                </c:pt>
                <c:pt idx="3">
                  <c:v>16.099999999999998</c:v>
                </c:pt>
                <c:pt idx="4">
                  <c:v>16.099999999999998</c:v>
                </c:pt>
                <c:pt idx="5">
                  <c:v>16.099999999999998</c:v>
                </c:pt>
                <c:pt idx="6">
                  <c:v>16.099999999999998</c:v>
                </c:pt>
                <c:pt idx="7">
                  <c:v>16.099999999999998</c:v>
                </c:pt>
                <c:pt idx="8">
                  <c:v>16.099999999999998</c:v>
                </c:pt>
                <c:pt idx="9">
                  <c:v>16.099999999999998</c:v>
                </c:pt>
                <c:pt idx="10">
                  <c:v>16.099999999999998</c:v>
                </c:pt>
                <c:pt idx="11">
                  <c:v>16.099999999999998</c:v>
                </c:pt>
                <c:pt idx="12">
                  <c:v>16.099999999999998</c:v>
                </c:pt>
                <c:pt idx="13">
                  <c:v>16.099999999999998</c:v>
                </c:pt>
              </c:numCache>
            </c:numRef>
          </c:yVal>
          <c:smooth val="1"/>
        </c:ser>
        <c:ser>
          <c:idx val="3"/>
          <c:order val="3"/>
          <c:tx>
            <c:strRef>
              <c:f>'6) STD-f''const-CUMPL'!$F$10</c:f>
              <c:strCache>
                <c:ptCount val="1"/>
                <c:pt idx="0">
                  <c:v>EMPL</c:v>
                </c:pt>
              </c:strCache>
            </c:strRef>
          </c:tx>
          <c:spPr>
            <a:ln>
              <a:solidFill>
                <a:srgbClr val="CC0000"/>
              </a:solidFill>
            </a:ln>
          </c:spPr>
          <c:marker>
            <c:spPr>
              <a:solidFill>
                <a:srgbClr val="C00000"/>
              </a:solidFill>
            </c:spPr>
          </c:marker>
          <c:xVal>
            <c:numRef>
              <c:f>'6) STD-f''const-CUMPL'!$B$15:$B$27</c:f>
              <c:numCache>
                <c:formatCode>General</c:formatCode>
                <c:ptCount val="13"/>
                <c:pt idx="0">
                  <c:v>5</c:v>
                </c:pt>
                <c:pt idx="1">
                  <c:v>6</c:v>
                </c:pt>
                <c:pt idx="2">
                  <c:v>7</c:v>
                </c:pt>
                <c:pt idx="3">
                  <c:v>8</c:v>
                </c:pt>
                <c:pt idx="4">
                  <c:v>9</c:v>
                </c:pt>
                <c:pt idx="5">
                  <c:v>10</c:v>
                </c:pt>
                <c:pt idx="6">
                  <c:v>11</c:v>
                </c:pt>
                <c:pt idx="7">
                  <c:v>12</c:v>
                </c:pt>
                <c:pt idx="8">
                  <c:v>13</c:v>
                </c:pt>
                <c:pt idx="9">
                  <c:v>14</c:v>
                </c:pt>
                <c:pt idx="10">
                  <c:v>15</c:v>
                </c:pt>
                <c:pt idx="11">
                  <c:v>16</c:v>
                </c:pt>
                <c:pt idx="12">
                  <c:v>17</c:v>
                </c:pt>
              </c:numCache>
            </c:numRef>
          </c:xVal>
          <c:yVal>
            <c:numRef>
              <c:f>'6) STD-f''const-CUMPL'!$F$15:$F$27</c:f>
              <c:numCache>
                <c:formatCode>General</c:formatCode>
                <c:ptCount val="13"/>
                <c:pt idx="0">
                  <c:v>16.099999999999998</c:v>
                </c:pt>
                <c:pt idx="1">
                  <c:v>16.099999999999998</c:v>
                </c:pt>
                <c:pt idx="2">
                  <c:v>16.099999999999998</c:v>
                </c:pt>
                <c:pt idx="3">
                  <c:v>16.099999999999998</c:v>
                </c:pt>
              </c:numCache>
            </c:numRef>
          </c:yVal>
          <c:smooth val="1"/>
        </c:ser>
        <c:dLbls>
          <c:showLegendKey val="0"/>
          <c:showVal val="0"/>
          <c:showCatName val="0"/>
          <c:showSerName val="0"/>
          <c:showPercent val="0"/>
          <c:showBubbleSize val="0"/>
        </c:dLbls>
        <c:axId val="137132288"/>
        <c:axId val="137134464"/>
      </c:scatterChart>
      <c:valAx>
        <c:axId val="137132288"/>
        <c:scaling>
          <c:orientation val="minMax"/>
        </c:scaling>
        <c:delete val="0"/>
        <c:axPos val="b"/>
        <c:numFmt formatCode="General" sourceLinked="1"/>
        <c:majorTickMark val="out"/>
        <c:minorTickMark val="none"/>
        <c:tickLblPos val="nextTo"/>
        <c:crossAx val="137134464"/>
        <c:crosses val="autoZero"/>
        <c:crossBetween val="midCat"/>
        <c:majorUnit val="1"/>
      </c:valAx>
      <c:valAx>
        <c:axId val="137134464"/>
        <c:scaling>
          <c:orientation val="minMax"/>
          <c:max val="20"/>
        </c:scaling>
        <c:delete val="0"/>
        <c:axPos val="l"/>
        <c:majorGridlines/>
        <c:numFmt formatCode="General" sourceLinked="1"/>
        <c:majorTickMark val="out"/>
        <c:minorTickMark val="none"/>
        <c:tickLblPos val="nextTo"/>
        <c:crossAx val="137132288"/>
        <c:crosses val="autoZero"/>
        <c:crossBetween val="midCat"/>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5.1400554097404488E-2"/>
          <c:w val="0.88476859142607178"/>
          <c:h val="0.79822506561679785"/>
        </c:manualLayout>
      </c:layout>
      <c:scatterChart>
        <c:scatterStyle val="smoothMarker"/>
        <c:varyColors val="0"/>
        <c:ser>
          <c:idx val="0"/>
          <c:order val="0"/>
          <c:tx>
            <c:strRef>
              <c:f>'7) STD-f''creciente-VIOL'!$C$10</c:f>
              <c:strCache>
                <c:ptCount val="1"/>
                <c:pt idx="0">
                  <c:v>bH</c:v>
                </c:pt>
              </c:strCache>
            </c:strRef>
          </c:tx>
          <c:xVal>
            <c:numRef>
              <c:f>'7) STD-f''creciente-VIOL'!$B$11:$B$27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'7) STD-f''creciente-VIOL'!$C$11:$C$27</c:f>
              <c:numCache>
                <c:formatCode>General</c:formatCode>
                <c:ptCount val="17"/>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numCache>
            </c:numRef>
          </c:yVal>
          <c:smooth val="1"/>
        </c:ser>
        <c:ser>
          <c:idx val="1"/>
          <c:order val="1"/>
          <c:tx>
            <c:strRef>
              <c:f>'7) STD-f''creciente-VIOL'!$D$10</c:f>
              <c:strCache>
                <c:ptCount val="1"/>
                <c:pt idx="0">
                  <c:v>bL</c:v>
                </c:pt>
              </c:strCache>
            </c:strRef>
          </c:tx>
          <c:xVal>
            <c:numRef>
              <c:f>'7) STD-f''creciente-VIOL'!$B$11:$B$27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'7) STD-f''creciente-VIOL'!$D$11:$D$18</c:f>
              <c:numCache>
                <c:formatCode>General</c:formatCode>
                <c:ptCount val="8"/>
                <c:pt idx="0">
                  <c:v>16</c:v>
                </c:pt>
                <c:pt idx="1">
                  <c:v>14</c:v>
                </c:pt>
                <c:pt idx="2">
                  <c:v>12</c:v>
                </c:pt>
                <c:pt idx="3">
                  <c:v>10</c:v>
                </c:pt>
                <c:pt idx="4">
                  <c:v>8</c:v>
                </c:pt>
                <c:pt idx="5">
                  <c:v>6</c:v>
                </c:pt>
                <c:pt idx="6">
                  <c:v>4</c:v>
                </c:pt>
                <c:pt idx="7">
                  <c:v>2</c:v>
                </c:pt>
              </c:numCache>
            </c:numRef>
          </c:yVal>
          <c:smooth val="1"/>
        </c:ser>
        <c:ser>
          <c:idx val="2"/>
          <c:order val="2"/>
          <c:tx>
            <c:strRef>
              <c:f>'7) STD-f''creciente-VIOL'!$E$10</c:f>
              <c:strCache>
                <c:ptCount val="1"/>
                <c:pt idx="0">
                  <c:v>EMPH</c:v>
                </c:pt>
              </c:strCache>
            </c:strRef>
          </c:tx>
          <c:spPr>
            <a:ln>
              <a:solidFill>
                <a:schemeClr val="accent1"/>
              </a:solidFill>
            </a:ln>
          </c:spPr>
          <c:marker>
            <c:symbol val="triangle"/>
            <c:size val="7"/>
            <c:spPr>
              <a:solidFill>
                <a:schemeClr val="accent1"/>
              </a:solidFill>
              <a:ln>
                <a:solidFill>
                  <a:srgbClr val="4F81BD"/>
                </a:solidFill>
              </a:ln>
            </c:spPr>
          </c:marker>
          <c:xVal>
            <c:numRef>
              <c:f>'7) STD-f''creciente-VIOL'!$B$12:$B$27</c:f>
              <c:numCache>
                <c:formatCode>General</c:formatCode>
                <c:ptCount val="16"/>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numCache>
            </c:numRef>
          </c:xVal>
          <c:yVal>
            <c:numRef>
              <c:f>'7) STD-f''creciente-VIOL'!$E$12:$E$25</c:f>
              <c:numCache>
                <c:formatCode>General</c:formatCode>
                <c:ptCount val="14"/>
                <c:pt idx="0">
                  <c:v>13.436500000000001</c:v>
                </c:pt>
                <c:pt idx="1">
                  <c:v>14.223000000000001</c:v>
                </c:pt>
                <c:pt idx="2">
                  <c:v>15.009500000000001</c:v>
                </c:pt>
                <c:pt idx="3">
                  <c:v>15.796000000000001</c:v>
                </c:pt>
                <c:pt idx="4">
                  <c:v>16.5825</c:v>
                </c:pt>
                <c:pt idx="5">
                  <c:v>17.369</c:v>
                </c:pt>
                <c:pt idx="6">
                  <c:v>18.1555</c:v>
                </c:pt>
                <c:pt idx="7">
                  <c:v>18.942</c:v>
                </c:pt>
                <c:pt idx="8">
                  <c:v>19.7285</c:v>
                </c:pt>
                <c:pt idx="9">
                  <c:v>20.515000000000001</c:v>
                </c:pt>
                <c:pt idx="10">
                  <c:v>21.301500000000001</c:v>
                </c:pt>
                <c:pt idx="11">
                  <c:v>22.088000000000001</c:v>
                </c:pt>
                <c:pt idx="12">
                  <c:v>22.874500000000005</c:v>
                </c:pt>
                <c:pt idx="13">
                  <c:v>23.661000000000001</c:v>
                </c:pt>
              </c:numCache>
            </c:numRef>
          </c:yVal>
          <c:smooth val="1"/>
        </c:ser>
        <c:ser>
          <c:idx val="3"/>
          <c:order val="3"/>
          <c:tx>
            <c:strRef>
              <c:f>'7) STD-f''creciente-VIOL'!$F$10</c:f>
              <c:strCache>
                <c:ptCount val="1"/>
                <c:pt idx="0">
                  <c:v>EMPL</c:v>
                </c:pt>
              </c:strCache>
            </c:strRef>
          </c:tx>
          <c:spPr>
            <a:ln>
              <a:solidFill>
                <a:srgbClr val="CC0000"/>
              </a:solidFill>
            </a:ln>
          </c:spPr>
          <c:marker>
            <c:spPr>
              <a:solidFill>
                <a:srgbClr val="C00000"/>
              </a:solidFill>
            </c:spPr>
          </c:marker>
          <c:xVal>
            <c:numRef>
              <c:f>'7) STD-f''creciente-VIOL'!$B$13:$B$27</c:f>
              <c:numCache>
                <c:formatCode>General</c:formatCode>
                <c:ptCount val="15"/>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numCache>
            </c:numRef>
          </c:xVal>
          <c:yVal>
            <c:numRef>
              <c:f>'7) STD-f''creciente-VIOL'!$F$13:$F$25</c:f>
              <c:numCache>
                <c:formatCode>General</c:formatCode>
                <c:ptCount val="13"/>
                <c:pt idx="0">
                  <c:v>8.1433333333333326</c:v>
                </c:pt>
                <c:pt idx="1">
                  <c:v>8.6199999999999992</c:v>
                </c:pt>
                <c:pt idx="2">
                  <c:v>9.0966666666666658</c:v>
                </c:pt>
                <c:pt idx="3">
                  <c:v>9.5733333333333324</c:v>
                </c:pt>
                <c:pt idx="4">
                  <c:v>10.049999999999999</c:v>
                </c:pt>
              </c:numCache>
            </c:numRef>
          </c:yVal>
          <c:smooth val="1"/>
        </c:ser>
        <c:dLbls>
          <c:showLegendKey val="0"/>
          <c:showVal val="0"/>
          <c:showCatName val="0"/>
          <c:showSerName val="0"/>
          <c:showPercent val="0"/>
          <c:showBubbleSize val="0"/>
        </c:dLbls>
        <c:axId val="119825152"/>
        <c:axId val="137411968"/>
      </c:scatterChart>
      <c:valAx>
        <c:axId val="119825152"/>
        <c:scaling>
          <c:orientation val="minMax"/>
        </c:scaling>
        <c:delete val="0"/>
        <c:axPos val="b"/>
        <c:numFmt formatCode="General" sourceLinked="1"/>
        <c:majorTickMark val="out"/>
        <c:minorTickMark val="none"/>
        <c:tickLblPos val="nextTo"/>
        <c:crossAx val="137411968"/>
        <c:crosses val="autoZero"/>
        <c:crossBetween val="midCat"/>
        <c:majorUnit val="1"/>
      </c:valAx>
      <c:valAx>
        <c:axId val="137411968"/>
        <c:scaling>
          <c:orientation val="minMax"/>
          <c:max val="17"/>
          <c:min val="0"/>
        </c:scaling>
        <c:delete val="0"/>
        <c:axPos val="l"/>
        <c:majorGridlines/>
        <c:numFmt formatCode="General" sourceLinked="1"/>
        <c:majorTickMark val="out"/>
        <c:minorTickMark val="none"/>
        <c:tickLblPos val="nextTo"/>
        <c:crossAx val="119825152"/>
        <c:crosses val="autoZero"/>
        <c:crossBetween val="midCat"/>
      </c:valAx>
    </c:plotArea>
    <c:legend>
      <c:legendPos val="r"/>
      <c:layout>
        <c:manualLayout>
          <c:xMode val="edge"/>
          <c:yMode val="edge"/>
          <c:x val="0.69769444444444484"/>
          <c:y val="3.4981627296587887E-3"/>
          <c:w val="0.15230555555555556"/>
          <c:h val="0.55109831271091114"/>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8407699037621E-2"/>
          <c:y val="5.1400554097404488E-2"/>
          <c:w val="0.88476859142607178"/>
          <c:h val="0.79822506561679785"/>
        </c:manualLayout>
      </c:layout>
      <c:scatterChart>
        <c:scatterStyle val="smoothMarker"/>
        <c:varyColors val="0"/>
        <c:ser>
          <c:idx val="0"/>
          <c:order val="0"/>
          <c:tx>
            <c:strRef>
              <c:f>'8) STD-f''const-VIOL'!$C$10</c:f>
              <c:strCache>
                <c:ptCount val="1"/>
                <c:pt idx="0">
                  <c:v>bH</c:v>
                </c:pt>
              </c:strCache>
            </c:strRef>
          </c:tx>
          <c:xVal>
            <c:numRef>
              <c:f>'8) STD-f''const-VIOL'!$B$11:$B$27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'8) STD-f''const-VIOL'!$C$11:$C$27</c:f>
              <c:numCache>
                <c:formatCode>General</c:formatCode>
                <c:ptCount val="17"/>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numCache>
            </c:numRef>
          </c:yVal>
          <c:smooth val="1"/>
        </c:ser>
        <c:ser>
          <c:idx val="1"/>
          <c:order val="1"/>
          <c:tx>
            <c:strRef>
              <c:f>'8) STD-f''const-VIOL'!$D$10</c:f>
              <c:strCache>
                <c:ptCount val="1"/>
                <c:pt idx="0">
                  <c:v>bL</c:v>
                </c:pt>
              </c:strCache>
            </c:strRef>
          </c:tx>
          <c:xVal>
            <c:numRef>
              <c:f>'8) STD-f''const-VIOL'!$B$11:$B$27</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'8) STD-f''const-VIOL'!$D$11:$D$18</c:f>
              <c:numCache>
                <c:formatCode>General</c:formatCode>
                <c:ptCount val="8"/>
                <c:pt idx="0">
                  <c:v>16</c:v>
                </c:pt>
                <c:pt idx="1">
                  <c:v>14</c:v>
                </c:pt>
                <c:pt idx="2">
                  <c:v>12</c:v>
                </c:pt>
                <c:pt idx="3">
                  <c:v>10</c:v>
                </c:pt>
                <c:pt idx="4">
                  <c:v>8</c:v>
                </c:pt>
                <c:pt idx="5">
                  <c:v>6</c:v>
                </c:pt>
                <c:pt idx="6">
                  <c:v>4</c:v>
                </c:pt>
                <c:pt idx="7">
                  <c:v>2</c:v>
                </c:pt>
              </c:numCache>
            </c:numRef>
          </c:yVal>
          <c:smooth val="1"/>
        </c:ser>
        <c:ser>
          <c:idx val="2"/>
          <c:order val="2"/>
          <c:tx>
            <c:strRef>
              <c:f>'8) STD-f''const-VIOL'!$E$10</c:f>
              <c:strCache>
                <c:ptCount val="1"/>
                <c:pt idx="0">
                  <c:v>EMPH</c:v>
                </c:pt>
              </c:strCache>
            </c:strRef>
          </c:tx>
          <c:spPr>
            <a:ln>
              <a:solidFill>
                <a:schemeClr val="accent1"/>
              </a:solidFill>
            </a:ln>
          </c:spPr>
          <c:marker>
            <c:symbol val="triangle"/>
            <c:size val="7"/>
            <c:spPr>
              <a:solidFill>
                <a:schemeClr val="accent1"/>
              </a:solidFill>
              <a:ln>
                <a:solidFill>
                  <a:srgbClr val="4F81BD"/>
                </a:solidFill>
              </a:ln>
            </c:spPr>
          </c:marker>
          <c:xVal>
            <c:numRef>
              <c:f>'8) STD-f''const-VIOL'!$B$12:$B$27</c:f>
              <c:numCache>
                <c:formatCode>General</c:formatCode>
                <c:ptCount val="16"/>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numCache>
            </c:numRef>
          </c:xVal>
          <c:yVal>
            <c:numRef>
              <c:f>'8) STD-f''const-VIOL'!$E$12:$E$25</c:f>
              <c:numCache>
                <c:formatCode>General</c:formatCode>
                <c:ptCount val="14"/>
                <c:pt idx="0">
                  <c:v>14.223000000000001</c:v>
                </c:pt>
                <c:pt idx="1">
                  <c:v>14.223000000000001</c:v>
                </c:pt>
                <c:pt idx="2">
                  <c:v>14.223000000000001</c:v>
                </c:pt>
                <c:pt idx="3">
                  <c:v>14.223000000000001</c:v>
                </c:pt>
                <c:pt idx="4">
                  <c:v>14.223000000000001</c:v>
                </c:pt>
                <c:pt idx="5">
                  <c:v>14.223000000000001</c:v>
                </c:pt>
                <c:pt idx="6">
                  <c:v>14.223000000000001</c:v>
                </c:pt>
                <c:pt idx="7">
                  <c:v>14.223000000000001</c:v>
                </c:pt>
                <c:pt idx="8">
                  <c:v>14.223000000000001</c:v>
                </c:pt>
                <c:pt idx="9">
                  <c:v>14.223000000000001</c:v>
                </c:pt>
                <c:pt idx="10">
                  <c:v>14.223000000000001</c:v>
                </c:pt>
                <c:pt idx="11">
                  <c:v>14.223000000000001</c:v>
                </c:pt>
                <c:pt idx="12">
                  <c:v>14.223000000000001</c:v>
                </c:pt>
                <c:pt idx="13">
                  <c:v>14.223000000000001</c:v>
                </c:pt>
              </c:numCache>
            </c:numRef>
          </c:yVal>
          <c:smooth val="1"/>
        </c:ser>
        <c:ser>
          <c:idx val="3"/>
          <c:order val="3"/>
          <c:tx>
            <c:strRef>
              <c:f>'8) STD-f''const-VIOL'!$F$10</c:f>
              <c:strCache>
                <c:ptCount val="1"/>
                <c:pt idx="0">
                  <c:v>EMPL</c:v>
                </c:pt>
              </c:strCache>
            </c:strRef>
          </c:tx>
          <c:spPr>
            <a:ln>
              <a:solidFill>
                <a:srgbClr val="CC0000"/>
              </a:solidFill>
            </a:ln>
          </c:spPr>
          <c:marker>
            <c:spPr>
              <a:solidFill>
                <a:srgbClr val="C00000"/>
              </a:solidFill>
            </c:spPr>
          </c:marker>
          <c:xVal>
            <c:numRef>
              <c:f>'8) STD-f''const-VIOL'!$B$13:$B$27</c:f>
              <c:numCache>
                <c:formatCode>General</c:formatCode>
                <c:ptCount val="15"/>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numCache>
            </c:numRef>
          </c:xVal>
          <c:yVal>
            <c:numRef>
              <c:f>'8) STD-f''const-VIOL'!$F$13:$F$25</c:f>
              <c:numCache>
                <c:formatCode>General</c:formatCode>
                <c:ptCount val="13"/>
                <c:pt idx="0">
                  <c:v>8.6199999999999992</c:v>
                </c:pt>
                <c:pt idx="1">
                  <c:v>8.6199999999999992</c:v>
                </c:pt>
                <c:pt idx="2">
                  <c:v>8.6199999999999992</c:v>
                </c:pt>
                <c:pt idx="3">
                  <c:v>8.6199999999999992</c:v>
                </c:pt>
                <c:pt idx="4">
                  <c:v>8.6199999999999992</c:v>
                </c:pt>
              </c:numCache>
            </c:numRef>
          </c:yVal>
          <c:smooth val="1"/>
        </c:ser>
        <c:dLbls>
          <c:showLegendKey val="0"/>
          <c:showVal val="0"/>
          <c:showCatName val="0"/>
          <c:showSerName val="0"/>
          <c:showPercent val="0"/>
          <c:showBubbleSize val="0"/>
        </c:dLbls>
        <c:axId val="120945280"/>
        <c:axId val="120951552"/>
      </c:scatterChart>
      <c:valAx>
        <c:axId val="120945280"/>
        <c:scaling>
          <c:orientation val="minMax"/>
        </c:scaling>
        <c:delete val="0"/>
        <c:axPos val="b"/>
        <c:numFmt formatCode="General" sourceLinked="1"/>
        <c:majorTickMark val="out"/>
        <c:minorTickMark val="none"/>
        <c:tickLblPos val="nextTo"/>
        <c:crossAx val="120951552"/>
        <c:crosses val="autoZero"/>
        <c:crossBetween val="midCat"/>
        <c:majorUnit val="1"/>
      </c:valAx>
      <c:valAx>
        <c:axId val="120951552"/>
        <c:scaling>
          <c:orientation val="minMax"/>
          <c:max val="17"/>
          <c:min val="0"/>
        </c:scaling>
        <c:delete val="0"/>
        <c:axPos val="l"/>
        <c:majorGridlines/>
        <c:numFmt formatCode="General" sourceLinked="1"/>
        <c:majorTickMark val="out"/>
        <c:minorTickMark val="none"/>
        <c:tickLblPos val="nextTo"/>
        <c:crossAx val="120945280"/>
        <c:crosses val="autoZero"/>
        <c:crossBetween val="midCat"/>
      </c:valAx>
    </c:plotArea>
    <c:legend>
      <c:legendPos val="r"/>
      <c:layout>
        <c:manualLayout>
          <c:xMode val="edge"/>
          <c:yMode val="edge"/>
          <c:x val="0.69769444444444506"/>
          <c:y val="3.4981627296587887E-3"/>
          <c:w val="0.15230555555555556"/>
          <c:h val="0.55109831271091114"/>
        </c:manualLayout>
      </c:layou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BMH</c:v>
          </c:tx>
          <c:xVal>
            <c:numRef>
              <c:f>'TDP-f''crec-CUMPL (2)'!$I$4:$I$22</c:f>
              <c:numCache>
                <c:formatCode>General</c:formatCode>
                <c:ptCount val="1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numCache>
            </c:numRef>
          </c:xVal>
          <c:yVal>
            <c:numRef>
              <c:f>'TDP-f''crec-CUMPL (2)'!$K$4:$K$22</c:f>
              <c:numCache>
                <c:formatCode>General</c:formatCode>
                <c:ptCount val="19"/>
                <c:pt idx="0">
                  <c:v>18</c:v>
                </c:pt>
                <c:pt idx="1">
                  <c:v>17</c:v>
                </c:pt>
                <c:pt idx="2">
                  <c:v>16</c:v>
                </c:pt>
                <c:pt idx="3">
                  <c:v>15</c:v>
                </c:pt>
                <c:pt idx="4">
                  <c:v>14</c:v>
                </c:pt>
                <c:pt idx="5">
                  <c:v>13</c:v>
                </c:pt>
                <c:pt idx="6">
                  <c:v>12</c:v>
                </c:pt>
                <c:pt idx="7">
                  <c:v>11</c:v>
                </c:pt>
                <c:pt idx="8">
                  <c:v>10</c:v>
                </c:pt>
                <c:pt idx="9">
                  <c:v>9</c:v>
                </c:pt>
                <c:pt idx="10">
                  <c:v>8</c:v>
                </c:pt>
                <c:pt idx="11">
                  <c:v>7</c:v>
                </c:pt>
                <c:pt idx="12">
                  <c:v>6</c:v>
                </c:pt>
                <c:pt idx="13">
                  <c:v>5</c:v>
                </c:pt>
                <c:pt idx="14">
                  <c:v>4</c:v>
                </c:pt>
                <c:pt idx="15">
                  <c:v>3</c:v>
                </c:pt>
                <c:pt idx="16">
                  <c:v>2</c:v>
                </c:pt>
                <c:pt idx="17">
                  <c:v>1</c:v>
                </c:pt>
                <c:pt idx="18">
                  <c:v>0</c:v>
                </c:pt>
              </c:numCache>
            </c:numRef>
          </c:yVal>
          <c:smooth val="1"/>
        </c:ser>
        <c:ser>
          <c:idx val="0"/>
          <c:order val="1"/>
          <c:tx>
            <c:v>BML</c:v>
          </c:tx>
          <c:xVal>
            <c:numRef>
              <c:f>'TDP-f''crec-CUMPL (2)'!$I$4:$I$13</c:f>
              <c:numCache>
                <c:formatCode>General</c:formatCode>
                <c:ptCount val="10"/>
                <c:pt idx="0">
                  <c:v>0</c:v>
                </c:pt>
                <c:pt idx="1">
                  <c:v>1</c:v>
                </c:pt>
                <c:pt idx="2">
                  <c:v>2</c:v>
                </c:pt>
                <c:pt idx="3">
                  <c:v>3</c:v>
                </c:pt>
                <c:pt idx="4">
                  <c:v>4</c:v>
                </c:pt>
                <c:pt idx="5">
                  <c:v>5</c:v>
                </c:pt>
                <c:pt idx="6">
                  <c:v>6</c:v>
                </c:pt>
                <c:pt idx="7">
                  <c:v>7</c:v>
                </c:pt>
                <c:pt idx="8">
                  <c:v>8</c:v>
                </c:pt>
                <c:pt idx="9">
                  <c:v>9</c:v>
                </c:pt>
              </c:numCache>
            </c:numRef>
          </c:xVal>
          <c:yVal>
            <c:numRef>
              <c:f>'TDP-f''crec-CUMPL (2)'!$M$4:$M$13</c:f>
              <c:numCache>
                <c:formatCode>General</c:formatCode>
                <c:ptCount val="10"/>
                <c:pt idx="0">
                  <c:v>18</c:v>
                </c:pt>
                <c:pt idx="1">
                  <c:v>16</c:v>
                </c:pt>
                <c:pt idx="2">
                  <c:v>14</c:v>
                </c:pt>
                <c:pt idx="3">
                  <c:v>12</c:v>
                </c:pt>
                <c:pt idx="4">
                  <c:v>10</c:v>
                </c:pt>
                <c:pt idx="5">
                  <c:v>8</c:v>
                </c:pt>
                <c:pt idx="6">
                  <c:v>6</c:v>
                </c:pt>
                <c:pt idx="7">
                  <c:v>4</c:v>
                </c:pt>
                <c:pt idx="8">
                  <c:v>2</c:v>
                </c:pt>
                <c:pt idx="9">
                  <c:v>0</c:v>
                </c:pt>
              </c:numCache>
            </c:numRef>
          </c:yVal>
          <c:smooth val="1"/>
        </c:ser>
        <c:dLbls>
          <c:showLegendKey val="0"/>
          <c:showVal val="0"/>
          <c:showCatName val="0"/>
          <c:showSerName val="0"/>
          <c:showPercent val="0"/>
          <c:showBubbleSize val="0"/>
        </c:dLbls>
        <c:axId val="121085952"/>
        <c:axId val="121087488"/>
      </c:scatterChart>
      <c:valAx>
        <c:axId val="121085952"/>
        <c:scaling>
          <c:orientation val="minMax"/>
        </c:scaling>
        <c:delete val="0"/>
        <c:axPos val="b"/>
        <c:majorGridlines>
          <c:spPr>
            <a:ln>
              <a:solidFill>
                <a:schemeClr val="tx1"/>
              </a:solidFill>
              <a:prstDash val="dash"/>
            </a:ln>
          </c:spPr>
        </c:majorGridlines>
        <c:numFmt formatCode="General" sourceLinked="1"/>
        <c:majorTickMark val="out"/>
        <c:minorTickMark val="none"/>
        <c:tickLblPos val="nextTo"/>
        <c:crossAx val="121087488"/>
        <c:crosses val="autoZero"/>
        <c:crossBetween val="midCat"/>
        <c:majorUnit val="1"/>
      </c:valAx>
      <c:valAx>
        <c:axId val="121087488"/>
        <c:scaling>
          <c:orientation val="minMax"/>
        </c:scaling>
        <c:delete val="0"/>
        <c:axPos val="l"/>
        <c:majorGridlines/>
        <c:numFmt formatCode="General" sourceLinked="1"/>
        <c:majorTickMark val="out"/>
        <c:minorTickMark val="none"/>
        <c:tickLblPos val="nextTo"/>
        <c:crossAx val="121085952"/>
        <c:crosses val="autoZero"/>
        <c:crossBetween val="midCat"/>
        <c:majorUnit val="1"/>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Delta Beneficio</a:t>
            </a:r>
          </a:p>
        </c:rich>
      </c:tx>
      <c:overlay val="0"/>
    </c:title>
    <c:autoTitleDeleted val="0"/>
    <c:plotArea>
      <c:layout/>
      <c:barChart>
        <c:barDir val="col"/>
        <c:grouping val="clustered"/>
        <c:varyColors val="0"/>
        <c:ser>
          <c:idx val="0"/>
          <c:order val="0"/>
          <c:tx>
            <c:strRef>
              <c:f>'(1) TDP-f''crec-CUMPL'!$J$1:$L$1</c:f>
              <c:strCache>
                <c:ptCount val="1"/>
                <c:pt idx="0">
                  <c:v>High</c:v>
                </c:pt>
              </c:strCache>
            </c:strRef>
          </c:tx>
          <c:invertIfNegative val="0"/>
          <c:cat>
            <c:numRef>
              <c:f>'(1) TDP-f''crec-CUMPL'!$I$5:$I$24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'(1) TDP-f''crec-CUMPL'!$L$5:$L$22</c:f>
              <c:numCache>
                <c:formatCode>General</c:formatCode>
                <c:ptCount val="18"/>
                <c:pt idx="0">
                  <c:v>17.5</c:v>
                </c:pt>
                <c:pt idx="1">
                  <c:v>16.5</c:v>
                </c:pt>
                <c:pt idx="2">
                  <c:v>15.5</c:v>
                </c:pt>
                <c:pt idx="3">
                  <c:v>14.5</c:v>
                </c:pt>
                <c:pt idx="4">
                  <c:v>13.5</c:v>
                </c:pt>
                <c:pt idx="5">
                  <c:v>12.5</c:v>
                </c:pt>
                <c:pt idx="6">
                  <c:v>11.5</c:v>
                </c:pt>
                <c:pt idx="7">
                  <c:v>10.5</c:v>
                </c:pt>
                <c:pt idx="8">
                  <c:v>9.5</c:v>
                </c:pt>
                <c:pt idx="9">
                  <c:v>8.5</c:v>
                </c:pt>
                <c:pt idx="10">
                  <c:v>7.5</c:v>
                </c:pt>
                <c:pt idx="11">
                  <c:v>6.5</c:v>
                </c:pt>
                <c:pt idx="12">
                  <c:v>5.5</c:v>
                </c:pt>
                <c:pt idx="13">
                  <c:v>4.5</c:v>
                </c:pt>
                <c:pt idx="14">
                  <c:v>3.5</c:v>
                </c:pt>
                <c:pt idx="15">
                  <c:v>2.5</c:v>
                </c:pt>
                <c:pt idx="16">
                  <c:v>1.5</c:v>
                </c:pt>
                <c:pt idx="17">
                  <c:v>0.5</c:v>
                </c:pt>
              </c:numCache>
            </c:numRef>
          </c:val>
        </c:ser>
        <c:ser>
          <c:idx val="1"/>
          <c:order val="1"/>
          <c:tx>
            <c:strRef>
              <c:f>'(1) TDP-f''crec-CUMPL'!$M$1:$N$1</c:f>
              <c:strCache>
                <c:ptCount val="1"/>
                <c:pt idx="0">
                  <c:v>Low</c:v>
                </c:pt>
              </c:strCache>
            </c:strRef>
          </c:tx>
          <c:invertIfNegative val="0"/>
          <c:cat>
            <c:numRef>
              <c:f>'(1) TDP-f''crec-CUMPL'!$I$5:$I$24</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'(1) TDP-f''crec-CUMPL'!$O$5:$O$13</c:f>
              <c:numCache>
                <c:formatCode>General</c:formatCode>
                <c:ptCount val="9"/>
                <c:pt idx="0">
                  <c:v>17</c:v>
                </c:pt>
                <c:pt idx="1">
                  <c:v>15</c:v>
                </c:pt>
                <c:pt idx="2">
                  <c:v>13</c:v>
                </c:pt>
                <c:pt idx="3">
                  <c:v>11</c:v>
                </c:pt>
                <c:pt idx="4">
                  <c:v>9</c:v>
                </c:pt>
                <c:pt idx="5">
                  <c:v>7</c:v>
                </c:pt>
                <c:pt idx="6">
                  <c:v>5</c:v>
                </c:pt>
                <c:pt idx="7">
                  <c:v>3</c:v>
                </c:pt>
                <c:pt idx="8">
                  <c:v>1</c:v>
                </c:pt>
              </c:numCache>
            </c:numRef>
          </c:val>
        </c:ser>
        <c:dLbls>
          <c:showLegendKey val="0"/>
          <c:showVal val="0"/>
          <c:showCatName val="0"/>
          <c:showSerName val="0"/>
          <c:showPercent val="0"/>
          <c:showBubbleSize val="0"/>
        </c:dLbls>
        <c:gapWidth val="150"/>
        <c:axId val="119469184"/>
        <c:axId val="119470720"/>
      </c:barChart>
      <c:catAx>
        <c:axId val="119469184"/>
        <c:scaling>
          <c:orientation val="minMax"/>
        </c:scaling>
        <c:delete val="0"/>
        <c:axPos val="b"/>
        <c:numFmt formatCode="General" sourceLinked="1"/>
        <c:majorTickMark val="out"/>
        <c:minorTickMark val="none"/>
        <c:tickLblPos val="nextTo"/>
        <c:crossAx val="119470720"/>
        <c:crosses val="autoZero"/>
        <c:auto val="1"/>
        <c:lblAlgn val="ctr"/>
        <c:lblOffset val="100"/>
        <c:tickLblSkip val="1"/>
        <c:noMultiLvlLbl val="0"/>
      </c:catAx>
      <c:valAx>
        <c:axId val="119470720"/>
        <c:scaling>
          <c:orientation val="minMax"/>
        </c:scaling>
        <c:delete val="0"/>
        <c:axPos val="l"/>
        <c:majorGridlines/>
        <c:minorGridlines>
          <c:spPr>
            <a:ln>
              <a:noFill/>
            </a:ln>
          </c:spPr>
        </c:minorGridlines>
        <c:numFmt formatCode="General" sourceLinked="1"/>
        <c:majorTickMark val="out"/>
        <c:minorTickMark val="none"/>
        <c:tickLblPos val="nextTo"/>
        <c:crossAx val="119469184"/>
        <c:crosses val="autoZero"/>
        <c:crossBetween val="between"/>
        <c:majorUnit val="0.5"/>
        <c:minorUnit val="0.2"/>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'(1) TDP-f''crec-CUMPL'!$Q$4</c:f>
              <c:strCache>
                <c:ptCount val="1"/>
                <c:pt idx="0">
                  <c:v>DAP</c:v>
                </c:pt>
              </c:strCache>
            </c:strRef>
          </c:tx>
          <c:invertIfNegative val="0"/>
          <c:dPt>
            <c:idx val="6"/>
            <c:invertIfNegative val="0"/>
            <c:bubble3D val="0"/>
            <c:spPr>
              <a:solidFill>
                <a:srgbClr val="00B050"/>
              </a:solidFill>
            </c:spPr>
          </c:dPt>
          <c:dLbls>
            <c:dLbl>
              <c:idx val="6"/>
              <c:showLegendKey val="0"/>
              <c:showVal val="1"/>
              <c:showCatName val="0"/>
              <c:showSerName val="0"/>
              <c:showPercent val="0"/>
              <c:showBubbleSize val="0"/>
            </c:dLbl>
            <c:dLbl>
              <c:idx val="7"/>
              <c:showLegendKey val="0"/>
              <c:showVal val="1"/>
              <c:showCatName val="0"/>
              <c:showSerName val="0"/>
              <c:showPercent val="0"/>
              <c:showBubbleSize val="0"/>
            </c:dLbl>
            <c:showLegendKey val="0"/>
            <c:showVal val="0"/>
            <c:showCatName val="0"/>
            <c:showSerName val="0"/>
            <c:showPercent val="0"/>
            <c:showBubbleSize val="0"/>
          </c:dLbls>
          <c:cat>
            <c:numRef>
              <c:f>'(1) TDP-f''crec-CUMPL'!$P$5:$P$31</c:f>
              <c:numCache>
                <c:formatCode>General</c:formatCode>
                <c:ptCount val="27"/>
                <c:pt idx="0">
                  <c:v>4</c:v>
                </c:pt>
                <c:pt idx="1">
                  <c:v>8</c:v>
                </c:pt>
                <c:pt idx="2">
                  <c:v>12</c:v>
                </c:pt>
                <c:pt idx="3">
                  <c:v>16</c:v>
                </c:pt>
                <c:pt idx="4">
                  <c:v>20</c:v>
                </c:pt>
                <c:pt idx="5">
                  <c:v>24</c:v>
                </c:pt>
                <c:pt idx="6">
                  <c:v>28</c:v>
                </c:pt>
                <c:pt idx="7">
                  <c:v>32</c:v>
                </c:pt>
                <c:pt idx="8">
                  <c:v>36</c:v>
                </c:pt>
                <c:pt idx="9">
                  <c:v>40</c:v>
                </c:pt>
                <c:pt idx="10">
                  <c:v>44</c:v>
                </c:pt>
                <c:pt idx="11">
                  <c:v>48</c:v>
                </c:pt>
                <c:pt idx="12">
                  <c:v>52</c:v>
                </c:pt>
                <c:pt idx="13">
                  <c:v>56</c:v>
                </c:pt>
                <c:pt idx="14">
                  <c:v>60</c:v>
                </c:pt>
                <c:pt idx="15">
                  <c:v>64</c:v>
                </c:pt>
                <c:pt idx="16">
                  <c:v>68</c:v>
                </c:pt>
                <c:pt idx="17">
                  <c:v>72</c:v>
                </c:pt>
                <c:pt idx="18">
                  <c:v>76</c:v>
                </c:pt>
                <c:pt idx="19">
                  <c:v>80</c:v>
                </c:pt>
                <c:pt idx="20">
                  <c:v>84</c:v>
                </c:pt>
                <c:pt idx="21">
                  <c:v>88</c:v>
                </c:pt>
                <c:pt idx="22">
                  <c:v>92</c:v>
                </c:pt>
                <c:pt idx="23">
                  <c:v>96</c:v>
                </c:pt>
                <c:pt idx="24">
                  <c:v>100</c:v>
                </c:pt>
                <c:pt idx="25">
                  <c:v>104</c:v>
                </c:pt>
                <c:pt idx="26">
                  <c:v>108</c:v>
                </c:pt>
              </c:numCache>
            </c:numRef>
          </c:cat>
          <c:val>
            <c:numRef>
              <c:f>'(1) TDP-f''crec-CUMPL'!$Q$5:$Q$31</c:f>
              <c:numCache>
                <c:formatCode>General</c:formatCode>
                <c:ptCount val="27"/>
                <c:pt idx="0">
                  <c:v>17.5</c:v>
                </c:pt>
                <c:pt idx="1">
                  <c:v>17</c:v>
                </c:pt>
                <c:pt idx="2">
                  <c:v>16.5</c:v>
                </c:pt>
                <c:pt idx="3">
                  <c:v>15.5</c:v>
                </c:pt>
                <c:pt idx="4">
                  <c:v>15</c:v>
                </c:pt>
                <c:pt idx="5">
                  <c:v>14.5</c:v>
                </c:pt>
                <c:pt idx="6">
                  <c:v>13.5</c:v>
                </c:pt>
                <c:pt idx="7">
                  <c:v>13</c:v>
                </c:pt>
                <c:pt idx="8">
                  <c:v>12.5</c:v>
                </c:pt>
                <c:pt idx="9">
                  <c:v>11.5</c:v>
                </c:pt>
                <c:pt idx="10">
                  <c:v>11</c:v>
                </c:pt>
                <c:pt idx="11">
                  <c:v>10.5</c:v>
                </c:pt>
                <c:pt idx="12">
                  <c:v>9.5</c:v>
                </c:pt>
                <c:pt idx="13">
                  <c:v>9</c:v>
                </c:pt>
                <c:pt idx="14">
                  <c:v>8.5</c:v>
                </c:pt>
                <c:pt idx="15">
                  <c:v>7.5</c:v>
                </c:pt>
                <c:pt idx="16">
                  <c:v>7</c:v>
                </c:pt>
                <c:pt idx="17">
                  <c:v>6.5</c:v>
                </c:pt>
                <c:pt idx="18">
                  <c:v>5.5</c:v>
                </c:pt>
                <c:pt idx="19">
                  <c:v>5</c:v>
                </c:pt>
                <c:pt idx="20">
                  <c:v>4.5</c:v>
                </c:pt>
                <c:pt idx="21">
                  <c:v>3.5</c:v>
                </c:pt>
                <c:pt idx="22">
                  <c:v>3</c:v>
                </c:pt>
                <c:pt idx="23">
                  <c:v>2.5</c:v>
                </c:pt>
                <c:pt idx="24">
                  <c:v>1.5</c:v>
                </c:pt>
                <c:pt idx="25">
                  <c:v>1</c:v>
                </c:pt>
                <c:pt idx="26">
                  <c:v>0.5</c:v>
                </c:pt>
              </c:numCache>
            </c:numRef>
          </c:val>
        </c:ser>
        <c:dLbls>
          <c:showLegendKey val="0"/>
          <c:showVal val="0"/>
          <c:showCatName val="0"/>
          <c:showSerName val="0"/>
          <c:showPercent val="0"/>
          <c:showBubbleSize val="0"/>
        </c:dLbls>
        <c:gapWidth val="150"/>
        <c:axId val="119776000"/>
        <c:axId val="119777536"/>
      </c:barChart>
      <c:catAx>
        <c:axId val="119776000"/>
        <c:scaling>
          <c:orientation val="minMax"/>
        </c:scaling>
        <c:delete val="0"/>
        <c:axPos val="b"/>
        <c:numFmt formatCode="General" sourceLinked="1"/>
        <c:majorTickMark val="out"/>
        <c:minorTickMark val="none"/>
        <c:tickLblPos val="nextTo"/>
        <c:crossAx val="119777536"/>
        <c:crosses val="autoZero"/>
        <c:auto val="1"/>
        <c:lblAlgn val="ctr"/>
        <c:lblOffset val="100"/>
        <c:noMultiLvlLbl val="0"/>
      </c:catAx>
      <c:valAx>
        <c:axId val="119777536"/>
        <c:scaling>
          <c:orientation val="minMax"/>
        </c:scaling>
        <c:delete val="0"/>
        <c:axPos val="l"/>
        <c:majorGridlines/>
        <c:numFmt formatCode="General" sourceLinked="1"/>
        <c:majorTickMark val="out"/>
        <c:minorTickMark val="none"/>
        <c:tickLblPos val="nextTo"/>
        <c:crossAx val="119776000"/>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 TDP-f''crec-CUMPL'!$S$38</c:f>
              <c:strCache>
                <c:ptCount val="1"/>
                <c:pt idx="0">
                  <c:v>demanda H</c:v>
                </c:pt>
              </c:strCache>
            </c:strRef>
          </c:tx>
          <c:invertIfNegative val="0"/>
          <c:dLbls>
            <c:dLbl>
              <c:idx val="1"/>
              <c:showLegendKey val="0"/>
              <c:showVal val="1"/>
              <c:showCatName val="0"/>
              <c:showSerName val="0"/>
              <c:showPercent val="0"/>
              <c:showBubbleSize val="0"/>
            </c:dLbl>
            <c:dLbl>
              <c:idx val="2"/>
              <c:showLegendKey val="0"/>
              <c:showVal val="1"/>
              <c:showCatName val="0"/>
              <c:showSerName val="0"/>
              <c:showPercent val="0"/>
              <c:showBubbleSize val="0"/>
            </c:dLbl>
            <c:dLbl>
              <c:idx val="5"/>
              <c:showLegendKey val="0"/>
              <c:showVal val="1"/>
              <c:showCatName val="0"/>
              <c:showSerName val="0"/>
              <c:showPercent val="0"/>
              <c:showBubbleSize val="0"/>
            </c:dLbl>
            <c:showLegendKey val="0"/>
            <c:showVal val="0"/>
            <c:showCatName val="0"/>
            <c:showSerName val="0"/>
            <c:showPercent val="0"/>
            <c:showBubbleSize val="0"/>
          </c:dLbls>
          <c:trendline>
            <c:trendlineType val="linear"/>
            <c:dispRSqr val="0"/>
            <c:dispEq val="0"/>
          </c:trendline>
          <c:cat>
            <c:numRef>
              <c:f>'(1) TDP-f''crec-CUMPL'!$R$40:$R$46</c:f>
              <c:numCache>
                <c:formatCode>General</c:formatCode>
                <c:ptCount val="7"/>
                <c:pt idx="0">
                  <c:v>1</c:v>
                </c:pt>
                <c:pt idx="1">
                  <c:v>2</c:v>
                </c:pt>
                <c:pt idx="2">
                  <c:v>3</c:v>
                </c:pt>
                <c:pt idx="3">
                  <c:v>4</c:v>
                </c:pt>
                <c:pt idx="4">
                  <c:v>5</c:v>
                </c:pt>
                <c:pt idx="5">
                  <c:v>6</c:v>
                </c:pt>
                <c:pt idx="6">
                  <c:v>7</c:v>
                </c:pt>
              </c:numCache>
            </c:numRef>
          </c:cat>
          <c:val>
            <c:numRef>
              <c:f>'(1) TDP-f''crec-CUMPL'!$S$40:$S$43</c:f>
              <c:numCache>
                <c:formatCode>General</c:formatCode>
                <c:ptCount val="4"/>
                <c:pt idx="0">
                  <c:v>14.5</c:v>
                </c:pt>
                <c:pt idx="1">
                  <c:v>13.5</c:v>
                </c:pt>
                <c:pt idx="2">
                  <c:v>12.5</c:v>
                </c:pt>
                <c:pt idx="3">
                  <c:v>11.5</c:v>
                </c:pt>
              </c:numCache>
            </c:numRef>
          </c:val>
        </c:ser>
        <c:ser>
          <c:idx val="1"/>
          <c:order val="1"/>
          <c:tx>
            <c:strRef>
              <c:f>'(1) TDP-f''crec-CUMPL'!$T$38</c:f>
              <c:strCache>
                <c:ptCount val="1"/>
                <c:pt idx="0">
                  <c:v>oferta Low</c:v>
                </c:pt>
              </c:strCache>
            </c:strRef>
          </c:tx>
          <c:invertIfNegative val="0"/>
          <c:dLbls>
            <c:dLbl>
              <c:idx val="1"/>
              <c:showLegendKey val="0"/>
              <c:showVal val="1"/>
              <c:showCatName val="0"/>
              <c:showSerName val="0"/>
              <c:showPercent val="0"/>
              <c:showBubbleSize val="0"/>
            </c:dLbl>
            <c:dLbl>
              <c:idx val="2"/>
              <c:showLegendKey val="0"/>
              <c:showVal val="1"/>
              <c:showCatName val="0"/>
              <c:showSerName val="0"/>
              <c:showPercent val="0"/>
              <c:showBubbleSize val="0"/>
            </c:dLbl>
            <c:dLbl>
              <c:idx val="5"/>
              <c:showLegendKey val="0"/>
              <c:showVal val="1"/>
              <c:showCatName val="0"/>
              <c:showSerName val="0"/>
              <c:showPercent val="0"/>
              <c:showBubbleSize val="0"/>
            </c:dLbl>
            <c:showLegendKey val="0"/>
            <c:showVal val="0"/>
            <c:showCatName val="0"/>
            <c:showSerName val="0"/>
            <c:showPercent val="0"/>
            <c:showBubbleSize val="0"/>
          </c:dLbls>
          <c:trendline>
            <c:trendlineType val="linear"/>
            <c:dispRSqr val="0"/>
            <c:dispEq val="0"/>
          </c:trendline>
          <c:val>
            <c:numRef>
              <c:f>'(1) TDP-f''crec-CUMPL'!$T$40:$T$43</c:f>
              <c:numCache>
                <c:formatCode>General</c:formatCode>
                <c:ptCount val="4"/>
                <c:pt idx="0">
                  <c:v>11</c:v>
                </c:pt>
                <c:pt idx="1">
                  <c:v>13</c:v>
                </c:pt>
                <c:pt idx="2">
                  <c:v>15</c:v>
                </c:pt>
                <c:pt idx="3">
                  <c:v>17</c:v>
                </c:pt>
              </c:numCache>
            </c:numRef>
          </c:val>
        </c:ser>
        <c:dLbls>
          <c:showLegendKey val="0"/>
          <c:showVal val="0"/>
          <c:showCatName val="0"/>
          <c:showSerName val="0"/>
          <c:showPercent val="0"/>
          <c:showBubbleSize val="0"/>
        </c:dLbls>
        <c:gapWidth val="150"/>
        <c:axId val="119794304"/>
        <c:axId val="119484800"/>
      </c:barChart>
      <c:catAx>
        <c:axId val="119794304"/>
        <c:scaling>
          <c:orientation val="minMax"/>
        </c:scaling>
        <c:delete val="0"/>
        <c:axPos val="b"/>
        <c:numFmt formatCode="General" sourceLinked="1"/>
        <c:majorTickMark val="out"/>
        <c:minorTickMark val="none"/>
        <c:tickLblPos val="nextTo"/>
        <c:crossAx val="119484800"/>
        <c:crosses val="autoZero"/>
        <c:auto val="1"/>
        <c:lblAlgn val="ctr"/>
        <c:lblOffset val="100"/>
        <c:noMultiLvlLbl val="0"/>
      </c:catAx>
      <c:valAx>
        <c:axId val="119484800"/>
        <c:scaling>
          <c:orientation val="minMax"/>
          <c:min val="7"/>
        </c:scaling>
        <c:delete val="0"/>
        <c:axPos val="l"/>
        <c:majorGridlines/>
        <c:numFmt formatCode="General" sourceLinked="1"/>
        <c:majorTickMark val="out"/>
        <c:minorTickMark val="none"/>
        <c:tickLblPos val="nextTo"/>
        <c:crossAx val="119794304"/>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210629921259842E-2"/>
          <c:y val="7.0689349629723772E-2"/>
          <c:w val="0.75220691163604547"/>
          <c:h val="0.81877600251652849"/>
        </c:manualLayout>
      </c:layout>
      <c:barChart>
        <c:barDir val="col"/>
        <c:grouping val="clustered"/>
        <c:varyColors val="0"/>
        <c:ser>
          <c:idx val="0"/>
          <c:order val="0"/>
          <c:tx>
            <c:strRef>
              <c:f>'(1) TDP-f''crec-CUMPL'!$S$53</c:f>
              <c:strCache>
                <c:ptCount val="1"/>
                <c:pt idx="0">
                  <c:v>DAP H</c:v>
                </c:pt>
              </c:strCache>
            </c:strRef>
          </c:tx>
          <c:invertIfNegative val="0"/>
          <c:dLbls>
            <c:dLbl>
              <c:idx val="2"/>
              <c:showLegendKey val="0"/>
              <c:showVal val="1"/>
              <c:showCatName val="0"/>
              <c:showSerName val="0"/>
              <c:showPercent val="0"/>
              <c:showBubbleSize val="0"/>
            </c:dLbl>
            <c:showLegendKey val="0"/>
            <c:showVal val="0"/>
            <c:showCatName val="0"/>
            <c:showSerName val="0"/>
            <c:showPercent val="0"/>
            <c:showBubbleSize val="0"/>
          </c:dLbls>
          <c:trendline>
            <c:trendlineType val="linear"/>
            <c:dispRSqr val="0"/>
            <c:dispEq val="0"/>
          </c:trendline>
          <c:cat>
            <c:numRef>
              <c:f>'(1) TDP-f''crec-CUMPL'!$R$54:$R$60</c:f>
              <c:numCache>
                <c:formatCode>General</c:formatCode>
                <c:ptCount val="7"/>
                <c:pt idx="0">
                  <c:v>1</c:v>
                </c:pt>
                <c:pt idx="1">
                  <c:v>2</c:v>
                </c:pt>
                <c:pt idx="2">
                  <c:v>3</c:v>
                </c:pt>
                <c:pt idx="3">
                  <c:v>4</c:v>
                </c:pt>
                <c:pt idx="4">
                  <c:v>5</c:v>
                </c:pt>
                <c:pt idx="5">
                  <c:v>6</c:v>
                </c:pt>
                <c:pt idx="6">
                  <c:v>7</c:v>
                </c:pt>
              </c:numCache>
            </c:numRef>
          </c:cat>
          <c:val>
            <c:numRef>
              <c:f>'(1) TDP-f''crec-CUMPL'!$S$54:$S$60</c:f>
              <c:numCache>
                <c:formatCode>General</c:formatCode>
                <c:ptCount val="7"/>
                <c:pt idx="0">
                  <c:v>15.5</c:v>
                </c:pt>
                <c:pt idx="1">
                  <c:v>14.5</c:v>
                </c:pt>
                <c:pt idx="2">
                  <c:v>13.5</c:v>
                </c:pt>
                <c:pt idx="3">
                  <c:v>12.5</c:v>
                </c:pt>
                <c:pt idx="4">
                  <c:v>11.5</c:v>
                </c:pt>
                <c:pt idx="5">
                  <c:v>10.5</c:v>
                </c:pt>
                <c:pt idx="6">
                  <c:v>9.5</c:v>
                </c:pt>
              </c:numCache>
            </c:numRef>
          </c:val>
        </c:ser>
        <c:ser>
          <c:idx val="1"/>
          <c:order val="1"/>
          <c:tx>
            <c:strRef>
              <c:f>'(1) TDP-f''crec-CUMPL'!$T$53</c:f>
              <c:strCache>
                <c:ptCount val="1"/>
                <c:pt idx="0">
                  <c:v>DAC L</c:v>
                </c:pt>
              </c:strCache>
            </c:strRef>
          </c:tx>
          <c:invertIfNegative val="0"/>
          <c:dLbls>
            <c:dLbl>
              <c:idx val="2"/>
              <c:showLegendKey val="0"/>
              <c:showVal val="1"/>
              <c:showCatName val="0"/>
              <c:showSerName val="0"/>
              <c:showPercent val="0"/>
              <c:showBubbleSize val="0"/>
            </c:dLbl>
            <c:showLegendKey val="0"/>
            <c:showVal val="0"/>
            <c:showCatName val="0"/>
            <c:showSerName val="0"/>
            <c:showPercent val="0"/>
            <c:showBubbleSize val="0"/>
          </c:dLbls>
          <c:trendline>
            <c:trendlineType val="linear"/>
            <c:dispRSqr val="0"/>
            <c:dispEq val="0"/>
          </c:trendline>
          <c:val>
            <c:numRef>
              <c:f>'(1) TDP-f''crec-CUMPL'!$T$54:$T$58</c:f>
              <c:numCache>
                <c:formatCode>General</c:formatCode>
                <c:ptCount val="5"/>
                <c:pt idx="0">
                  <c:v>9</c:v>
                </c:pt>
                <c:pt idx="1">
                  <c:v>11</c:v>
                </c:pt>
                <c:pt idx="2">
                  <c:v>13</c:v>
                </c:pt>
                <c:pt idx="3">
                  <c:v>15</c:v>
                </c:pt>
                <c:pt idx="4">
                  <c:v>17</c:v>
                </c:pt>
              </c:numCache>
            </c:numRef>
          </c:val>
        </c:ser>
        <c:dLbls>
          <c:showLegendKey val="0"/>
          <c:showVal val="0"/>
          <c:showCatName val="0"/>
          <c:showSerName val="0"/>
          <c:showPercent val="0"/>
          <c:showBubbleSize val="0"/>
        </c:dLbls>
        <c:gapWidth val="150"/>
        <c:axId val="119504256"/>
        <c:axId val="119514240"/>
      </c:barChart>
      <c:catAx>
        <c:axId val="119504256"/>
        <c:scaling>
          <c:orientation val="minMax"/>
        </c:scaling>
        <c:delete val="0"/>
        <c:axPos val="b"/>
        <c:numFmt formatCode="General" sourceLinked="1"/>
        <c:majorTickMark val="out"/>
        <c:minorTickMark val="none"/>
        <c:tickLblPos val="nextTo"/>
        <c:crossAx val="119514240"/>
        <c:crosses val="autoZero"/>
        <c:auto val="1"/>
        <c:lblAlgn val="ctr"/>
        <c:lblOffset val="100"/>
        <c:noMultiLvlLbl val="0"/>
      </c:catAx>
      <c:valAx>
        <c:axId val="119514240"/>
        <c:scaling>
          <c:orientation val="minMax"/>
        </c:scaling>
        <c:delete val="0"/>
        <c:axPos val="l"/>
        <c:majorGridlines/>
        <c:numFmt formatCode="General" sourceLinked="1"/>
        <c:majorTickMark val="out"/>
        <c:minorTickMark val="none"/>
        <c:tickLblPos val="nextTo"/>
        <c:crossAx val="119504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BMH</c:v>
          </c:tx>
          <c:xVal>
            <c:numRef>
              <c:f>'2) TDP-f''const-CUMPL'!$I$4:$I$22</c:f>
              <c:numCache>
                <c:formatCode>General</c:formatCode>
                <c:ptCount val="1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numCache>
            </c:numRef>
          </c:xVal>
          <c:yVal>
            <c:numRef>
              <c:f>'2) TDP-f''const-CUMPL'!$K$4:$K$22</c:f>
              <c:numCache>
                <c:formatCode>General</c:formatCode>
                <c:ptCount val="19"/>
                <c:pt idx="0">
                  <c:v>18</c:v>
                </c:pt>
                <c:pt idx="1">
                  <c:v>17</c:v>
                </c:pt>
                <c:pt idx="2">
                  <c:v>16</c:v>
                </c:pt>
                <c:pt idx="3">
                  <c:v>15</c:v>
                </c:pt>
                <c:pt idx="4">
                  <c:v>14</c:v>
                </c:pt>
                <c:pt idx="5">
                  <c:v>13</c:v>
                </c:pt>
                <c:pt idx="6">
                  <c:v>12</c:v>
                </c:pt>
                <c:pt idx="7">
                  <c:v>11</c:v>
                </c:pt>
                <c:pt idx="8">
                  <c:v>10</c:v>
                </c:pt>
                <c:pt idx="9">
                  <c:v>9</c:v>
                </c:pt>
                <c:pt idx="10">
                  <c:v>8</c:v>
                </c:pt>
                <c:pt idx="11">
                  <c:v>7</c:v>
                </c:pt>
                <c:pt idx="12">
                  <c:v>6</c:v>
                </c:pt>
                <c:pt idx="13">
                  <c:v>5</c:v>
                </c:pt>
                <c:pt idx="14">
                  <c:v>4</c:v>
                </c:pt>
                <c:pt idx="15">
                  <c:v>3</c:v>
                </c:pt>
                <c:pt idx="16">
                  <c:v>2</c:v>
                </c:pt>
                <c:pt idx="17">
                  <c:v>1</c:v>
                </c:pt>
                <c:pt idx="18">
                  <c:v>0</c:v>
                </c:pt>
              </c:numCache>
            </c:numRef>
          </c:yVal>
          <c:smooth val="1"/>
        </c:ser>
        <c:ser>
          <c:idx val="0"/>
          <c:order val="1"/>
          <c:tx>
            <c:v>BML</c:v>
          </c:tx>
          <c:xVal>
            <c:numRef>
              <c:f>'2) TDP-f''const-CUMPL'!$I$4:$I$13</c:f>
              <c:numCache>
                <c:formatCode>General</c:formatCode>
                <c:ptCount val="10"/>
                <c:pt idx="0">
                  <c:v>0</c:v>
                </c:pt>
                <c:pt idx="1">
                  <c:v>1</c:v>
                </c:pt>
                <c:pt idx="2">
                  <c:v>2</c:v>
                </c:pt>
                <c:pt idx="3">
                  <c:v>3</c:v>
                </c:pt>
                <c:pt idx="4">
                  <c:v>4</c:v>
                </c:pt>
                <c:pt idx="5">
                  <c:v>5</c:v>
                </c:pt>
                <c:pt idx="6">
                  <c:v>6</c:v>
                </c:pt>
                <c:pt idx="7">
                  <c:v>7</c:v>
                </c:pt>
                <c:pt idx="8">
                  <c:v>8</c:v>
                </c:pt>
                <c:pt idx="9">
                  <c:v>9</c:v>
                </c:pt>
              </c:numCache>
            </c:numRef>
          </c:xVal>
          <c:yVal>
            <c:numRef>
              <c:f>'2) TDP-f''const-CUMPL'!$M$4:$M$13</c:f>
              <c:numCache>
                <c:formatCode>General</c:formatCode>
                <c:ptCount val="10"/>
                <c:pt idx="0">
                  <c:v>18</c:v>
                </c:pt>
                <c:pt idx="1">
                  <c:v>16</c:v>
                </c:pt>
                <c:pt idx="2">
                  <c:v>14</c:v>
                </c:pt>
                <c:pt idx="3">
                  <c:v>12</c:v>
                </c:pt>
                <c:pt idx="4">
                  <c:v>10</c:v>
                </c:pt>
                <c:pt idx="5">
                  <c:v>8</c:v>
                </c:pt>
                <c:pt idx="6">
                  <c:v>6</c:v>
                </c:pt>
                <c:pt idx="7">
                  <c:v>4</c:v>
                </c:pt>
                <c:pt idx="8">
                  <c:v>2</c:v>
                </c:pt>
                <c:pt idx="9">
                  <c:v>0</c:v>
                </c:pt>
              </c:numCache>
            </c:numRef>
          </c:yVal>
          <c:smooth val="1"/>
        </c:ser>
        <c:ser>
          <c:idx val="2"/>
          <c:order val="2"/>
          <c:tx>
            <c:strRef>
              <c:f>'2) TDP-f''const-CUMPL'!$N$3</c:f>
              <c:strCache>
                <c:ptCount val="1"/>
                <c:pt idx="0">
                  <c:v>pi*f'(1)</c:v>
                </c:pt>
              </c:strCache>
            </c:strRef>
          </c:tx>
          <c:xVal>
            <c:numRef>
              <c:f>'2) TDP-f''const-CUMPL'!$I$7:$I$22</c:f>
              <c:numCache>
                <c:formatCode>General</c:formatCode>
                <c:ptCount val="16"/>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numCache>
            </c:numRef>
          </c:xVal>
          <c:yVal>
            <c:numRef>
              <c:f>'2) TDP-f''const-CUMPL'!$N$7:$N$22</c:f>
              <c:numCache>
                <c:formatCode>General</c:formatCode>
                <c:ptCount val="16"/>
                <c:pt idx="0">
                  <c:v>16.099999999999998</c:v>
                </c:pt>
                <c:pt idx="1">
                  <c:v>16.099999999999998</c:v>
                </c:pt>
                <c:pt idx="2">
                  <c:v>16.099999999999998</c:v>
                </c:pt>
                <c:pt idx="3">
                  <c:v>16.099999999999998</c:v>
                </c:pt>
                <c:pt idx="4">
                  <c:v>16.099999999999998</c:v>
                </c:pt>
                <c:pt idx="5">
                  <c:v>16.099999999999998</c:v>
                </c:pt>
                <c:pt idx="6">
                  <c:v>16.099999999999998</c:v>
                </c:pt>
                <c:pt idx="7">
                  <c:v>16.099999999999998</c:v>
                </c:pt>
                <c:pt idx="8">
                  <c:v>16.099999999999998</c:v>
                </c:pt>
                <c:pt idx="9">
                  <c:v>16.099999999999998</c:v>
                </c:pt>
                <c:pt idx="10">
                  <c:v>16.099999999999998</c:v>
                </c:pt>
                <c:pt idx="11">
                  <c:v>16.099999999999998</c:v>
                </c:pt>
                <c:pt idx="12">
                  <c:v>16.099999999999998</c:v>
                </c:pt>
                <c:pt idx="13">
                  <c:v>16.099999999999998</c:v>
                </c:pt>
                <c:pt idx="14">
                  <c:v>16.099999999999998</c:v>
                </c:pt>
                <c:pt idx="15">
                  <c:v>16.099999999999998</c:v>
                </c:pt>
              </c:numCache>
            </c:numRef>
          </c:yVal>
          <c:smooth val="1"/>
        </c:ser>
        <c:dLbls>
          <c:showLegendKey val="0"/>
          <c:showVal val="0"/>
          <c:showCatName val="0"/>
          <c:showSerName val="0"/>
          <c:showPercent val="0"/>
          <c:showBubbleSize val="0"/>
        </c:dLbls>
        <c:axId val="119583104"/>
        <c:axId val="119584640"/>
      </c:scatterChart>
      <c:valAx>
        <c:axId val="119583104"/>
        <c:scaling>
          <c:orientation val="minMax"/>
        </c:scaling>
        <c:delete val="0"/>
        <c:axPos val="b"/>
        <c:majorGridlines>
          <c:spPr>
            <a:ln>
              <a:solidFill>
                <a:schemeClr val="tx1"/>
              </a:solidFill>
              <a:prstDash val="dash"/>
            </a:ln>
          </c:spPr>
        </c:majorGridlines>
        <c:numFmt formatCode="General" sourceLinked="1"/>
        <c:majorTickMark val="out"/>
        <c:minorTickMark val="none"/>
        <c:tickLblPos val="nextTo"/>
        <c:crossAx val="119584640"/>
        <c:crosses val="autoZero"/>
        <c:crossBetween val="midCat"/>
        <c:majorUnit val="1"/>
      </c:valAx>
      <c:valAx>
        <c:axId val="119584640"/>
        <c:scaling>
          <c:orientation val="minMax"/>
        </c:scaling>
        <c:delete val="0"/>
        <c:axPos val="l"/>
        <c:majorGridlines/>
        <c:numFmt formatCode="General" sourceLinked="1"/>
        <c:majorTickMark val="out"/>
        <c:minorTickMark val="none"/>
        <c:tickLblPos val="nextTo"/>
        <c:crossAx val="119583104"/>
        <c:crosses val="autoZero"/>
        <c:crossBetween val="midCat"/>
        <c:majorUnit val="1"/>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84147160785791"/>
          <c:y val="5.1400554097404488E-2"/>
          <c:w val="0.83228059803104759"/>
          <c:h val="0.79822506561679785"/>
        </c:manualLayout>
      </c:layout>
      <c:lineChart>
        <c:grouping val="standard"/>
        <c:varyColors val="0"/>
        <c:ser>
          <c:idx val="2"/>
          <c:order val="0"/>
          <c:tx>
            <c:v>Demanda de las L</c:v>
          </c:tx>
          <c:marker>
            <c:symbol val="none"/>
          </c:marker>
          <c:val>
            <c:numRef>
              <c:f>'3) TDP-f''crec-VIOL'!$L$21:$L$80</c:f>
              <c:numCache>
                <c:formatCode>0.0</c:formatCode>
                <c:ptCount val="60"/>
                <c:pt idx="0">
                  <c:v>6</c:v>
                </c:pt>
                <c:pt idx="1">
                  <c:v>6</c:v>
                </c:pt>
                <c:pt idx="2">
                  <c:v>6</c:v>
                </c:pt>
                <c:pt idx="3">
                  <c:v>6</c:v>
                </c:pt>
                <c:pt idx="4">
                  <c:v>5</c:v>
                </c:pt>
                <c:pt idx="5">
                  <c:v>5</c:v>
                </c:pt>
                <c:pt idx="6">
                  <c:v>5</c:v>
                </c:pt>
                <c:pt idx="7">
                  <c:v>5</c:v>
                </c:pt>
                <c:pt idx="8">
                  <c:v>5</c:v>
                </c:pt>
                <c:pt idx="9">
                  <c:v>5</c:v>
                </c:pt>
                <c:pt idx="10">
                  <c:v>5</c:v>
                </c:pt>
                <c:pt idx="11">
                  <c:v>5</c:v>
                </c:pt>
                <c:pt idx="12">
                  <c:v>4</c:v>
                </c:pt>
                <c:pt idx="13">
                  <c:v>4</c:v>
                </c:pt>
                <c:pt idx="14">
                  <c:v>4</c:v>
                </c:pt>
                <c:pt idx="15">
                  <c:v>4</c:v>
                </c:pt>
                <c:pt idx="16">
                  <c:v>3</c:v>
                </c:pt>
                <c:pt idx="17">
                  <c:v>3</c:v>
                </c:pt>
                <c:pt idx="18">
                  <c:v>3</c:v>
                </c:pt>
                <c:pt idx="19">
                  <c:v>3</c:v>
                </c:pt>
                <c:pt idx="20">
                  <c:v>2</c:v>
                </c:pt>
                <c:pt idx="21">
                  <c:v>2</c:v>
                </c:pt>
                <c:pt idx="22">
                  <c:v>2</c:v>
                </c:pt>
                <c:pt idx="23">
                  <c:v>2</c:v>
                </c:pt>
                <c:pt idx="24">
                  <c:v>2</c:v>
                </c:pt>
                <c:pt idx="25">
                  <c:v>2</c:v>
                </c:pt>
                <c:pt idx="26">
                  <c:v>2</c:v>
                </c:pt>
                <c:pt idx="27">
                  <c:v>2</c:v>
                </c:pt>
                <c:pt idx="28">
                  <c:v>1</c:v>
                </c:pt>
                <c:pt idx="29">
                  <c:v>1</c:v>
                </c:pt>
                <c:pt idx="30">
                  <c:v>1</c:v>
                </c:pt>
                <c:pt idx="31">
                  <c:v>1</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ser>
        <c:ser>
          <c:idx val="1"/>
          <c:order val="1"/>
          <c:tx>
            <c:v>Demanda de las H</c:v>
          </c:tx>
          <c:marker>
            <c:symbol val="none"/>
          </c:marker>
          <c:val>
            <c:numRef>
              <c:f>'3) TDP-f''crec-VIOL'!$K$21:$K$80</c:f>
              <c:numCache>
                <c:formatCode>0.0</c:formatCode>
                <c:ptCount val="60"/>
                <c:pt idx="0">
                  <c:v>9</c:v>
                </c:pt>
                <c:pt idx="1">
                  <c:v>9</c:v>
                </c:pt>
                <c:pt idx="2">
                  <c:v>9</c:v>
                </c:pt>
                <c:pt idx="3">
                  <c:v>9</c:v>
                </c:pt>
                <c:pt idx="4">
                  <c:v>8</c:v>
                </c:pt>
                <c:pt idx="5">
                  <c:v>8</c:v>
                </c:pt>
                <c:pt idx="6">
                  <c:v>8</c:v>
                </c:pt>
                <c:pt idx="7">
                  <c:v>8</c:v>
                </c:pt>
                <c:pt idx="8">
                  <c:v>8</c:v>
                </c:pt>
                <c:pt idx="9">
                  <c:v>8</c:v>
                </c:pt>
                <c:pt idx="10">
                  <c:v>8</c:v>
                </c:pt>
                <c:pt idx="11">
                  <c:v>8</c:v>
                </c:pt>
                <c:pt idx="12">
                  <c:v>7</c:v>
                </c:pt>
                <c:pt idx="13">
                  <c:v>7</c:v>
                </c:pt>
                <c:pt idx="14">
                  <c:v>7</c:v>
                </c:pt>
                <c:pt idx="15">
                  <c:v>7</c:v>
                </c:pt>
                <c:pt idx="16">
                  <c:v>7</c:v>
                </c:pt>
                <c:pt idx="17">
                  <c:v>7</c:v>
                </c:pt>
                <c:pt idx="18">
                  <c:v>7</c:v>
                </c:pt>
                <c:pt idx="19">
                  <c:v>7</c:v>
                </c:pt>
                <c:pt idx="20">
                  <c:v>6</c:v>
                </c:pt>
                <c:pt idx="21">
                  <c:v>6</c:v>
                </c:pt>
                <c:pt idx="22">
                  <c:v>6</c:v>
                </c:pt>
                <c:pt idx="23">
                  <c:v>6</c:v>
                </c:pt>
                <c:pt idx="24">
                  <c:v>6</c:v>
                </c:pt>
                <c:pt idx="25">
                  <c:v>6</c:v>
                </c:pt>
                <c:pt idx="26">
                  <c:v>6</c:v>
                </c:pt>
                <c:pt idx="27">
                  <c:v>6</c:v>
                </c:pt>
                <c:pt idx="28">
                  <c:v>5</c:v>
                </c:pt>
                <c:pt idx="29">
                  <c:v>5</c:v>
                </c:pt>
                <c:pt idx="30">
                  <c:v>5</c:v>
                </c:pt>
                <c:pt idx="31">
                  <c:v>5</c:v>
                </c:pt>
                <c:pt idx="32">
                  <c:v>5</c:v>
                </c:pt>
                <c:pt idx="33">
                  <c:v>5</c:v>
                </c:pt>
                <c:pt idx="34">
                  <c:v>5</c:v>
                </c:pt>
                <c:pt idx="35">
                  <c:v>5</c:v>
                </c:pt>
                <c:pt idx="36">
                  <c:v>4</c:v>
                </c:pt>
                <c:pt idx="37">
                  <c:v>4</c:v>
                </c:pt>
                <c:pt idx="38">
                  <c:v>4</c:v>
                </c:pt>
                <c:pt idx="39">
                  <c:v>4</c:v>
                </c:pt>
                <c:pt idx="40">
                  <c:v>4</c:v>
                </c:pt>
                <c:pt idx="41">
                  <c:v>4</c:v>
                </c:pt>
                <c:pt idx="42">
                  <c:v>4</c:v>
                </c:pt>
                <c:pt idx="43">
                  <c:v>4</c:v>
                </c:pt>
                <c:pt idx="44">
                  <c:v>3</c:v>
                </c:pt>
                <c:pt idx="45">
                  <c:v>3</c:v>
                </c:pt>
                <c:pt idx="46">
                  <c:v>3</c:v>
                </c:pt>
                <c:pt idx="47">
                  <c:v>3</c:v>
                </c:pt>
                <c:pt idx="48">
                  <c:v>3</c:v>
                </c:pt>
                <c:pt idx="49">
                  <c:v>3</c:v>
                </c:pt>
                <c:pt idx="50">
                  <c:v>3</c:v>
                </c:pt>
                <c:pt idx="51">
                  <c:v>3</c:v>
                </c:pt>
                <c:pt idx="52">
                  <c:v>2</c:v>
                </c:pt>
                <c:pt idx="53">
                  <c:v>2</c:v>
                </c:pt>
                <c:pt idx="54">
                  <c:v>2</c:v>
                </c:pt>
                <c:pt idx="55">
                  <c:v>2</c:v>
                </c:pt>
                <c:pt idx="56">
                  <c:v>2</c:v>
                </c:pt>
                <c:pt idx="57">
                  <c:v>2</c:v>
                </c:pt>
                <c:pt idx="58">
                  <c:v>2</c:v>
                </c:pt>
                <c:pt idx="59">
                  <c:v>2</c:v>
                </c:pt>
              </c:numCache>
            </c:numRef>
          </c:val>
          <c:smooth val="0"/>
        </c:ser>
        <c:ser>
          <c:idx val="0"/>
          <c:order val="2"/>
          <c:tx>
            <c:v>DAP Total</c:v>
          </c:tx>
          <c:marker>
            <c:symbol val="none"/>
          </c:marker>
          <c:val>
            <c:numRef>
              <c:f>'3) TDP-f''crec-VIOL'!$M$21:$M$80</c:f>
              <c:numCache>
                <c:formatCode>0.0</c:formatCode>
                <c:ptCount val="60"/>
                <c:pt idx="0">
                  <c:v>9</c:v>
                </c:pt>
                <c:pt idx="1">
                  <c:v>9</c:v>
                </c:pt>
                <c:pt idx="2">
                  <c:v>9</c:v>
                </c:pt>
                <c:pt idx="3">
                  <c:v>9</c:v>
                </c:pt>
                <c:pt idx="4">
                  <c:v>8</c:v>
                </c:pt>
                <c:pt idx="5">
                  <c:v>8</c:v>
                </c:pt>
                <c:pt idx="6">
                  <c:v>8</c:v>
                </c:pt>
                <c:pt idx="7">
                  <c:v>8</c:v>
                </c:pt>
                <c:pt idx="8">
                  <c:v>8</c:v>
                </c:pt>
                <c:pt idx="9">
                  <c:v>8</c:v>
                </c:pt>
                <c:pt idx="10">
                  <c:v>8</c:v>
                </c:pt>
                <c:pt idx="11">
                  <c:v>8</c:v>
                </c:pt>
                <c:pt idx="12">
                  <c:v>7</c:v>
                </c:pt>
                <c:pt idx="13">
                  <c:v>7</c:v>
                </c:pt>
                <c:pt idx="14">
                  <c:v>7</c:v>
                </c:pt>
                <c:pt idx="15">
                  <c:v>7</c:v>
                </c:pt>
                <c:pt idx="16">
                  <c:v>7</c:v>
                </c:pt>
                <c:pt idx="17">
                  <c:v>7</c:v>
                </c:pt>
                <c:pt idx="18">
                  <c:v>7</c:v>
                </c:pt>
                <c:pt idx="19">
                  <c:v>7</c:v>
                </c:pt>
                <c:pt idx="20">
                  <c:v>6</c:v>
                </c:pt>
                <c:pt idx="21">
                  <c:v>6</c:v>
                </c:pt>
                <c:pt idx="22">
                  <c:v>6</c:v>
                </c:pt>
                <c:pt idx="23">
                  <c:v>6</c:v>
                </c:pt>
                <c:pt idx="24">
                  <c:v>6</c:v>
                </c:pt>
                <c:pt idx="25">
                  <c:v>6</c:v>
                </c:pt>
                <c:pt idx="26">
                  <c:v>6</c:v>
                </c:pt>
                <c:pt idx="27">
                  <c:v>6</c:v>
                </c:pt>
                <c:pt idx="28">
                  <c:v>6</c:v>
                </c:pt>
                <c:pt idx="29">
                  <c:v>6</c:v>
                </c:pt>
                <c:pt idx="30">
                  <c:v>6</c:v>
                </c:pt>
                <c:pt idx="31">
                  <c:v>6</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4</c:v>
                </c:pt>
                <c:pt idx="49">
                  <c:v>4</c:v>
                </c:pt>
                <c:pt idx="50">
                  <c:v>4</c:v>
                </c:pt>
                <c:pt idx="51">
                  <c:v>4</c:v>
                </c:pt>
                <c:pt idx="52">
                  <c:v>4</c:v>
                </c:pt>
                <c:pt idx="53">
                  <c:v>4</c:v>
                </c:pt>
                <c:pt idx="54">
                  <c:v>4</c:v>
                </c:pt>
                <c:pt idx="55">
                  <c:v>4</c:v>
                </c:pt>
                <c:pt idx="56">
                  <c:v>4</c:v>
                </c:pt>
                <c:pt idx="57">
                  <c:v>4</c:v>
                </c:pt>
                <c:pt idx="58">
                  <c:v>4</c:v>
                </c:pt>
                <c:pt idx="59">
                  <c:v>4</c:v>
                </c:pt>
              </c:numCache>
            </c:numRef>
          </c:val>
          <c:smooth val="0"/>
        </c:ser>
        <c:dLbls>
          <c:showLegendKey val="0"/>
          <c:showVal val="0"/>
          <c:showCatName val="0"/>
          <c:showSerName val="0"/>
          <c:showPercent val="0"/>
          <c:showBubbleSize val="0"/>
        </c:dLbls>
        <c:marker val="1"/>
        <c:smooth val="0"/>
        <c:axId val="120053120"/>
        <c:axId val="120059008"/>
      </c:lineChart>
      <c:catAx>
        <c:axId val="120053120"/>
        <c:scaling>
          <c:orientation val="minMax"/>
        </c:scaling>
        <c:delete val="0"/>
        <c:axPos val="b"/>
        <c:majorTickMark val="out"/>
        <c:minorTickMark val="none"/>
        <c:tickLblPos val="nextTo"/>
        <c:crossAx val="120059008"/>
        <c:crosses val="autoZero"/>
        <c:auto val="1"/>
        <c:lblAlgn val="ctr"/>
        <c:lblOffset val="100"/>
        <c:noMultiLvlLbl val="0"/>
      </c:catAx>
      <c:valAx>
        <c:axId val="120059008"/>
        <c:scaling>
          <c:orientation val="minMax"/>
        </c:scaling>
        <c:delete val="0"/>
        <c:axPos val="l"/>
        <c:majorGridlines/>
        <c:numFmt formatCode="0.0" sourceLinked="1"/>
        <c:majorTickMark val="out"/>
        <c:minorTickMark val="none"/>
        <c:tickLblPos val="nextTo"/>
        <c:crossAx val="120053120"/>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 TDP-f''crec-VIOL'!$U$49</c:f>
              <c:strCache>
                <c:ptCount val="1"/>
                <c:pt idx="0">
                  <c:v>lH</c:v>
                </c:pt>
              </c:strCache>
            </c:strRef>
          </c:tx>
          <c:val>
            <c:numRef>
              <c:f>'3) TDP-f''crec-VIOL'!$U$50:$U$67</c:f>
              <c:numCache>
                <c:formatCode>General</c:formatCode>
                <c:ptCount val="18"/>
                <c:pt idx="0">
                  <c:v>17</c:v>
                </c:pt>
                <c:pt idx="1">
                  <c:v>15</c:v>
                </c:pt>
                <c:pt idx="2">
                  <c:v>13</c:v>
                </c:pt>
                <c:pt idx="3">
                  <c:v>11</c:v>
                </c:pt>
                <c:pt idx="4">
                  <c:v>9</c:v>
                </c:pt>
                <c:pt idx="5">
                  <c:v>7</c:v>
                </c:pt>
                <c:pt idx="6">
                  <c:v>5</c:v>
                </c:pt>
                <c:pt idx="7">
                  <c:v>3</c:v>
                </c:pt>
                <c:pt idx="8">
                  <c:v>1</c:v>
                </c:pt>
                <c:pt idx="9">
                  <c:v>0</c:v>
                </c:pt>
                <c:pt idx="10">
                  <c:v>0</c:v>
                </c:pt>
                <c:pt idx="11">
                  <c:v>0</c:v>
                </c:pt>
                <c:pt idx="12">
                  <c:v>0</c:v>
                </c:pt>
                <c:pt idx="13">
                  <c:v>0</c:v>
                </c:pt>
                <c:pt idx="14">
                  <c:v>0</c:v>
                </c:pt>
                <c:pt idx="15">
                  <c:v>0</c:v>
                </c:pt>
                <c:pt idx="16">
                  <c:v>0</c:v>
                </c:pt>
                <c:pt idx="17">
                  <c:v>0</c:v>
                </c:pt>
              </c:numCache>
            </c:numRef>
          </c:val>
          <c:smooth val="0"/>
        </c:ser>
        <c:ser>
          <c:idx val="1"/>
          <c:order val="1"/>
          <c:tx>
            <c:strRef>
              <c:f>'3) TDP-f''crec-VIOL'!$V$49</c:f>
              <c:strCache>
                <c:ptCount val="1"/>
                <c:pt idx="0">
                  <c:v>lL</c:v>
                </c:pt>
              </c:strCache>
            </c:strRef>
          </c:tx>
          <c:val>
            <c:numRef>
              <c:f>'3) TDP-f''crec-VIOL'!$V$50:$V$67</c:f>
              <c:numCache>
                <c:formatCode>General</c:formatCode>
                <c:ptCount val="18"/>
                <c:pt idx="0">
                  <c:v>8</c:v>
                </c:pt>
                <c:pt idx="1">
                  <c:v>7</c:v>
                </c:pt>
                <c:pt idx="2">
                  <c:v>5</c:v>
                </c:pt>
                <c:pt idx="3">
                  <c:v>4</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ser>
        <c:dLbls>
          <c:showLegendKey val="0"/>
          <c:showVal val="0"/>
          <c:showCatName val="0"/>
          <c:showSerName val="0"/>
          <c:showPercent val="0"/>
          <c:showBubbleSize val="0"/>
        </c:dLbls>
        <c:marker val="1"/>
        <c:smooth val="0"/>
        <c:axId val="120403840"/>
        <c:axId val="120405376"/>
      </c:lineChart>
      <c:catAx>
        <c:axId val="120403840"/>
        <c:scaling>
          <c:orientation val="minMax"/>
        </c:scaling>
        <c:delete val="0"/>
        <c:axPos val="b"/>
        <c:majorTickMark val="out"/>
        <c:minorTickMark val="none"/>
        <c:tickLblPos val="nextTo"/>
        <c:crossAx val="120405376"/>
        <c:crosses val="autoZero"/>
        <c:auto val="1"/>
        <c:lblAlgn val="ctr"/>
        <c:lblOffset val="100"/>
        <c:noMultiLvlLbl val="0"/>
      </c:catAx>
      <c:valAx>
        <c:axId val="120405376"/>
        <c:scaling>
          <c:orientation val="minMax"/>
        </c:scaling>
        <c:delete val="0"/>
        <c:axPos val="l"/>
        <c:majorGridlines/>
        <c:numFmt formatCode="General" sourceLinked="1"/>
        <c:majorTickMark val="out"/>
        <c:minorTickMark val="none"/>
        <c:tickLblPos val="nextTo"/>
        <c:crossAx val="120403840"/>
        <c:crosses val="autoZero"/>
        <c:crossBetween val="between"/>
        <c:majorUnit val="1"/>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UY"/>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'3) TDP-f''crec-VIOL'!$D$92</c:f>
              <c:strCache>
                <c:ptCount val="1"/>
                <c:pt idx="0">
                  <c:v>max DAPH</c:v>
                </c:pt>
              </c:strCache>
            </c:strRef>
          </c:tx>
          <c:val>
            <c:numRef>
              <c:f>'3) TDP-f''crec-VIOL'!$D$93:$D$108</c:f>
              <c:numCache>
                <c:formatCode>General</c:formatCode>
                <c:ptCount val="16"/>
                <c:pt idx="0">
                  <c:v>7.9032244252783812</c:v>
                </c:pt>
                <c:pt idx="1">
                  <c:v>7.3995024234065507</c:v>
                </c:pt>
                <c:pt idx="2">
                  <c:v>6.8957804215347194</c:v>
                </c:pt>
                <c:pt idx="3">
                  <c:v>6.392058419662888</c:v>
                </c:pt>
                <c:pt idx="4">
                  <c:v>5.8883364177910575</c:v>
                </c:pt>
                <c:pt idx="5">
                  <c:v>5.3846144159192271</c:v>
                </c:pt>
                <c:pt idx="6">
                  <c:v>4.8808924140473957</c:v>
                </c:pt>
                <c:pt idx="7">
                  <c:v>4.3771704121755644</c:v>
                </c:pt>
                <c:pt idx="8">
                  <c:v>3.8734484103037339</c:v>
                </c:pt>
                <c:pt idx="9">
                  <c:v>3.3697264084319034</c:v>
                </c:pt>
                <c:pt idx="10">
                  <c:v>2.866004406560072</c:v>
                </c:pt>
                <c:pt idx="11">
                  <c:v>2.3622824046882407</c:v>
                </c:pt>
                <c:pt idx="12">
                  <c:v>1.8585604028164102</c:v>
                </c:pt>
                <c:pt idx="13">
                  <c:v>1.3548384009445797</c:v>
                </c:pt>
                <c:pt idx="14">
                  <c:v>0.85111639907274927</c:v>
                </c:pt>
                <c:pt idx="15">
                  <c:v>0</c:v>
                </c:pt>
              </c:numCache>
            </c:numRef>
          </c:val>
          <c:smooth val="0"/>
        </c:ser>
        <c:ser>
          <c:idx val="1"/>
          <c:order val="1"/>
          <c:tx>
            <c:strRef>
              <c:f>'3) TDP-f''crec-VIOL'!$F$92</c:f>
              <c:strCache>
                <c:ptCount val="1"/>
                <c:pt idx="0">
                  <c:v>DAC L</c:v>
                </c:pt>
              </c:strCache>
            </c:strRef>
          </c:tx>
          <c:val>
            <c:numRef>
              <c:f>'3) TDP-f''crec-VIOL'!$F$93:$F$96</c:f>
              <c:numCache>
                <c:formatCode>General</c:formatCode>
                <c:ptCount val="4"/>
                <c:pt idx="0">
                  <c:v>4.5041449509997786</c:v>
                </c:pt>
                <c:pt idx="1">
                  <c:v>5.1774449694481994</c:v>
                </c:pt>
                <c:pt idx="2">
                  <c:v>5.8507449878966202</c:v>
                </c:pt>
                <c:pt idx="3">
                  <c:v>6.5240450063450401</c:v>
                </c:pt>
              </c:numCache>
            </c:numRef>
          </c:val>
          <c:smooth val="0"/>
        </c:ser>
        <c:dLbls>
          <c:showLegendKey val="0"/>
          <c:showVal val="0"/>
          <c:showCatName val="0"/>
          <c:showSerName val="0"/>
          <c:showPercent val="0"/>
          <c:showBubbleSize val="0"/>
        </c:dLbls>
        <c:marker val="1"/>
        <c:smooth val="0"/>
        <c:axId val="120438784"/>
        <c:axId val="120440320"/>
      </c:lineChart>
      <c:catAx>
        <c:axId val="120438784"/>
        <c:scaling>
          <c:orientation val="minMax"/>
        </c:scaling>
        <c:delete val="0"/>
        <c:axPos val="b"/>
        <c:majorTickMark val="none"/>
        <c:minorTickMark val="none"/>
        <c:tickLblPos val="nextTo"/>
        <c:crossAx val="120440320"/>
        <c:crosses val="autoZero"/>
        <c:auto val="1"/>
        <c:lblAlgn val="ctr"/>
        <c:lblOffset val="100"/>
        <c:noMultiLvlLbl val="0"/>
      </c:catAx>
      <c:valAx>
        <c:axId val="120440320"/>
        <c:scaling>
          <c:orientation val="minMax"/>
          <c:max val="7.5"/>
          <c:min val="3.5"/>
        </c:scaling>
        <c:delete val="0"/>
        <c:axPos val="l"/>
        <c:majorGridlines/>
        <c:title>
          <c:overlay val="0"/>
        </c:title>
        <c:numFmt formatCode="General" sourceLinked="1"/>
        <c:majorTickMark val="none"/>
        <c:minorTickMark val="none"/>
        <c:tickLblPos val="nextTo"/>
        <c:crossAx val="120438784"/>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17</xdr:col>
      <xdr:colOff>50800</xdr:colOff>
      <xdr:row>14</xdr:row>
      <xdr:rowOff>139700</xdr:rowOff>
    </xdr:from>
    <xdr:to>
      <xdr:col>24</xdr:col>
      <xdr:colOff>190500</xdr:colOff>
      <xdr:row>33</xdr:row>
      <xdr:rowOff>127000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317500</xdr:colOff>
      <xdr:row>0</xdr:row>
      <xdr:rowOff>0</xdr:rowOff>
    </xdr:from>
    <xdr:to>
      <xdr:col>26</xdr:col>
      <xdr:colOff>495300</xdr:colOff>
      <xdr:row>22</xdr:row>
      <xdr:rowOff>114300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203200</xdr:colOff>
      <xdr:row>0</xdr:row>
      <xdr:rowOff>38100</xdr:rowOff>
    </xdr:from>
    <xdr:to>
      <xdr:col>30</xdr:col>
      <xdr:colOff>50800</xdr:colOff>
      <xdr:row>32</xdr:row>
      <xdr:rowOff>19049</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304800</xdr:colOff>
      <xdr:row>37</xdr:row>
      <xdr:rowOff>38101</xdr:rowOff>
    </xdr:from>
    <xdr:to>
      <xdr:col>26</xdr:col>
      <xdr:colOff>304800</xdr:colOff>
      <xdr:row>46</xdr:row>
      <xdr:rowOff>165101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457200</xdr:colOff>
      <xdr:row>50</xdr:row>
      <xdr:rowOff>165099</xdr:rowOff>
    </xdr:from>
    <xdr:to>
      <xdr:col>26</xdr:col>
      <xdr:colOff>457200</xdr:colOff>
      <xdr:row>64</xdr:row>
      <xdr:rowOff>31748</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12</xdr:col>
      <xdr:colOff>0</xdr:colOff>
      <xdr:row>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133353</xdr:colOff>
      <xdr:row>0</xdr:row>
      <xdr:rowOff>47626</xdr:rowOff>
    </xdr:from>
    <xdr:to>
      <xdr:col>6</xdr:col>
      <xdr:colOff>142876</xdr:colOff>
      <xdr:row>7</xdr:row>
      <xdr:rowOff>38100</xdr:rowOff>
    </xdr:to>
    <xdr:cxnSp macro="">
      <xdr:nvCxnSpPr>
        <xdr:cNvPr id="3" name="2 Conector recto"/>
        <xdr:cNvCxnSpPr/>
      </xdr:nvCxnSpPr>
      <xdr:spPr>
        <a:xfrm rot="16200000" flipV="1">
          <a:off x="3133728" y="704851"/>
          <a:ext cx="1323974" cy="952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0</xdr:row>
      <xdr:rowOff>57150</xdr:rowOff>
    </xdr:from>
    <xdr:to>
      <xdr:col>6</xdr:col>
      <xdr:colOff>352425</xdr:colOff>
      <xdr:row>7</xdr:row>
      <xdr:rowOff>38100</xdr:rowOff>
    </xdr:to>
    <xdr:cxnSp macro="">
      <xdr:nvCxnSpPr>
        <xdr:cNvPr id="4" name="3 Conector recto"/>
        <xdr:cNvCxnSpPr/>
      </xdr:nvCxnSpPr>
      <xdr:spPr>
        <a:xfrm rot="5400000" flipH="1" flipV="1">
          <a:off x="3352800" y="714375"/>
          <a:ext cx="1314450" cy="0"/>
        </a:xfrm>
        <a:prstGeom prst="line">
          <a:avLst/>
        </a:prstGeom>
        <a:ln w="317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533400</xdr:colOff>
      <xdr:row>14</xdr:row>
      <xdr:rowOff>161926</xdr:rowOff>
    </xdr:from>
    <xdr:to>
      <xdr:col>11</xdr:col>
      <xdr:colOff>542925</xdr:colOff>
      <xdr:row>19</xdr:row>
      <xdr:rowOff>180976</xdr:rowOff>
    </xdr:to>
    <xdr:cxnSp macro="">
      <xdr:nvCxnSpPr>
        <xdr:cNvPr id="5" name="4 Conector recto"/>
        <xdr:cNvCxnSpPr/>
      </xdr:nvCxnSpPr>
      <xdr:spPr>
        <a:xfrm rot="16200000" flipH="1">
          <a:off x="61483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17</xdr:row>
      <xdr:rowOff>114299</xdr:rowOff>
    </xdr:from>
    <xdr:to>
      <xdr:col>9</xdr:col>
      <xdr:colOff>476251</xdr:colOff>
      <xdr:row>19</xdr:row>
      <xdr:rowOff>180974</xdr:rowOff>
    </xdr:to>
    <xdr:cxnSp macro="">
      <xdr:nvCxnSpPr>
        <xdr:cNvPr id="6" name="5 Conector recto"/>
        <xdr:cNvCxnSpPr/>
      </xdr:nvCxnSpPr>
      <xdr:spPr>
        <a:xfrm rot="5400000">
          <a:off x="5738813" y="3576637"/>
          <a:ext cx="447675" cy="0"/>
        </a:xfrm>
        <a:prstGeom prst="line">
          <a:avLst/>
        </a:prstGeom>
        <a:ln>
          <a:prstDash val="dash"/>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12</xdr:col>
      <xdr:colOff>0</xdr:colOff>
      <xdr:row>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133353</xdr:colOff>
      <xdr:row>0</xdr:row>
      <xdr:rowOff>47626</xdr:rowOff>
    </xdr:from>
    <xdr:to>
      <xdr:col>6</xdr:col>
      <xdr:colOff>142876</xdr:colOff>
      <xdr:row>7</xdr:row>
      <xdr:rowOff>38100</xdr:rowOff>
    </xdr:to>
    <xdr:cxnSp macro="">
      <xdr:nvCxnSpPr>
        <xdr:cNvPr id="3" name="2 Conector recto"/>
        <xdr:cNvCxnSpPr/>
      </xdr:nvCxnSpPr>
      <xdr:spPr>
        <a:xfrm rot="16200000" flipV="1">
          <a:off x="3133728" y="704851"/>
          <a:ext cx="1323974" cy="952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0</xdr:row>
      <xdr:rowOff>57150</xdr:rowOff>
    </xdr:from>
    <xdr:to>
      <xdr:col>6</xdr:col>
      <xdr:colOff>352425</xdr:colOff>
      <xdr:row>7</xdr:row>
      <xdr:rowOff>38100</xdr:rowOff>
    </xdr:to>
    <xdr:cxnSp macro="">
      <xdr:nvCxnSpPr>
        <xdr:cNvPr id="4" name="3 Conector recto"/>
        <xdr:cNvCxnSpPr/>
      </xdr:nvCxnSpPr>
      <xdr:spPr>
        <a:xfrm rot="5400000" flipH="1" flipV="1">
          <a:off x="3352800" y="714375"/>
          <a:ext cx="1314450" cy="0"/>
        </a:xfrm>
        <a:prstGeom prst="line">
          <a:avLst/>
        </a:prstGeom>
        <a:ln w="317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533400</xdr:colOff>
      <xdr:row>14</xdr:row>
      <xdr:rowOff>161926</xdr:rowOff>
    </xdr:from>
    <xdr:to>
      <xdr:col>10</xdr:col>
      <xdr:colOff>542925</xdr:colOff>
      <xdr:row>19</xdr:row>
      <xdr:rowOff>180976</xdr:rowOff>
    </xdr:to>
    <xdr:cxnSp macro="">
      <xdr:nvCxnSpPr>
        <xdr:cNvPr id="5" name="4 Conector recto"/>
        <xdr:cNvCxnSpPr/>
      </xdr:nvCxnSpPr>
      <xdr:spPr>
        <a:xfrm rot="16200000" flipH="1">
          <a:off x="61483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17</xdr:row>
      <xdr:rowOff>114299</xdr:rowOff>
    </xdr:from>
    <xdr:to>
      <xdr:col>9</xdr:col>
      <xdr:colOff>476251</xdr:colOff>
      <xdr:row>19</xdr:row>
      <xdr:rowOff>180974</xdr:rowOff>
    </xdr:to>
    <xdr:cxnSp macro="">
      <xdr:nvCxnSpPr>
        <xdr:cNvPr id="6" name="5 Conector recto"/>
        <xdr:cNvCxnSpPr/>
      </xdr:nvCxnSpPr>
      <xdr:spPr>
        <a:xfrm rot="5400000">
          <a:off x="5738813" y="3576637"/>
          <a:ext cx="447675" cy="0"/>
        </a:xfrm>
        <a:prstGeom prst="line">
          <a:avLst/>
        </a:prstGeom>
        <a:ln>
          <a:prstDash val="dash"/>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12</xdr:col>
      <xdr:colOff>0</xdr:colOff>
      <xdr:row>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295280</xdr:colOff>
      <xdr:row>0</xdr:row>
      <xdr:rowOff>57151</xdr:rowOff>
    </xdr:from>
    <xdr:to>
      <xdr:col>5</xdr:col>
      <xdr:colOff>304803</xdr:colOff>
      <xdr:row>7</xdr:row>
      <xdr:rowOff>47625</xdr:rowOff>
    </xdr:to>
    <xdr:cxnSp macro="">
      <xdr:nvCxnSpPr>
        <xdr:cNvPr id="3" name="2 Conector recto"/>
        <xdr:cNvCxnSpPr/>
      </xdr:nvCxnSpPr>
      <xdr:spPr>
        <a:xfrm rot="16200000" flipV="1">
          <a:off x="2686055" y="714376"/>
          <a:ext cx="1323974" cy="952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0</xdr:row>
      <xdr:rowOff>76200</xdr:rowOff>
    </xdr:from>
    <xdr:to>
      <xdr:col>5</xdr:col>
      <xdr:colOff>533400</xdr:colOff>
      <xdr:row>7</xdr:row>
      <xdr:rowOff>57150</xdr:rowOff>
    </xdr:to>
    <xdr:cxnSp macro="">
      <xdr:nvCxnSpPr>
        <xdr:cNvPr id="4" name="3 Conector recto"/>
        <xdr:cNvCxnSpPr/>
      </xdr:nvCxnSpPr>
      <xdr:spPr>
        <a:xfrm rot="5400000" flipH="1" flipV="1">
          <a:off x="2924175" y="733425"/>
          <a:ext cx="1314450" cy="0"/>
        </a:xfrm>
        <a:prstGeom prst="line">
          <a:avLst/>
        </a:prstGeom>
        <a:ln w="317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533400</xdr:colOff>
      <xdr:row>14</xdr:row>
      <xdr:rowOff>161926</xdr:rowOff>
    </xdr:from>
    <xdr:to>
      <xdr:col>10</xdr:col>
      <xdr:colOff>542925</xdr:colOff>
      <xdr:row>19</xdr:row>
      <xdr:rowOff>180976</xdr:rowOff>
    </xdr:to>
    <xdr:cxnSp macro="">
      <xdr:nvCxnSpPr>
        <xdr:cNvPr id="5" name="4 Conector recto"/>
        <xdr:cNvCxnSpPr/>
      </xdr:nvCxnSpPr>
      <xdr:spPr>
        <a:xfrm rot="16200000" flipH="1">
          <a:off x="61483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17</xdr:row>
      <xdr:rowOff>114299</xdr:rowOff>
    </xdr:from>
    <xdr:to>
      <xdr:col>9</xdr:col>
      <xdr:colOff>476251</xdr:colOff>
      <xdr:row>19</xdr:row>
      <xdr:rowOff>180974</xdr:rowOff>
    </xdr:to>
    <xdr:cxnSp macro="">
      <xdr:nvCxnSpPr>
        <xdr:cNvPr id="6" name="5 Conector recto"/>
        <xdr:cNvCxnSpPr/>
      </xdr:nvCxnSpPr>
      <xdr:spPr>
        <a:xfrm rot="5400000">
          <a:off x="5738813" y="3576637"/>
          <a:ext cx="447675" cy="0"/>
        </a:xfrm>
        <a:prstGeom prst="line">
          <a:avLst/>
        </a:prstGeom>
        <a:ln>
          <a:prstDash val="das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533400</xdr:colOff>
      <xdr:row>14</xdr:row>
      <xdr:rowOff>161926</xdr:rowOff>
    </xdr:from>
    <xdr:to>
      <xdr:col>11</xdr:col>
      <xdr:colOff>542925</xdr:colOff>
      <xdr:row>19</xdr:row>
      <xdr:rowOff>180976</xdr:rowOff>
    </xdr:to>
    <xdr:cxnSp macro="">
      <xdr:nvCxnSpPr>
        <xdr:cNvPr id="7" name="6 Conector recto"/>
        <xdr:cNvCxnSpPr/>
      </xdr:nvCxnSpPr>
      <xdr:spPr>
        <a:xfrm rot="16200000" flipH="1">
          <a:off x="67579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12</xdr:col>
      <xdr:colOff>0</xdr:colOff>
      <xdr:row>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295280</xdr:colOff>
      <xdr:row>0</xdr:row>
      <xdr:rowOff>57151</xdr:rowOff>
    </xdr:from>
    <xdr:to>
      <xdr:col>5</xdr:col>
      <xdr:colOff>304803</xdr:colOff>
      <xdr:row>7</xdr:row>
      <xdr:rowOff>47625</xdr:rowOff>
    </xdr:to>
    <xdr:cxnSp macro="">
      <xdr:nvCxnSpPr>
        <xdr:cNvPr id="3" name="2 Conector recto"/>
        <xdr:cNvCxnSpPr/>
      </xdr:nvCxnSpPr>
      <xdr:spPr>
        <a:xfrm rot="16200000" flipV="1">
          <a:off x="2686055" y="714376"/>
          <a:ext cx="1323974" cy="952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533400</xdr:colOff>
      <xdr:row>0</xdr:row>
      <xdr:rowOff>76200</xdr:rowOff>
    </xdr:from>
    <xdr:to>
      <xdr:col>5</xdr:col>
      <xdr:colOff>533400</xdr:colOff>
      <xdr:row>7</xdr:row>
      <xdr:rowOff>57150</xdr:rowOff>
    </xdr:to>
    <xdr:cxnSp macro="">
      <xdr:nvCxnSpPr>
        <xdr:cNvPr id="4" name="3 Conector recto"/>
        <xdr:cNvCxnSpPr/>
      </xdr:nvCxnSpPr>
      <xdr:spPr>
        <a:xfrm rot="5400000" flipH="1" flipV="1">
          <a:off x="2924175" y="733425"/>
          <a:ext cx="1314450" cy="0"/>
        </a:xfrm>
        <a:prstGeom prst="line">
          <a:avLst/>
        </a:prstGeom>
        <a:ln w="317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533400</xdr:colOff>
      <xdr:row>14</xdr:row>
      <xdr:rowOff>161926</xdr:rowOff>
    </xdr:from>
    <xdr:to>
      <xdr:col>10</xdr:col>
      <xdr:colOff>542925</xdr:colOff>
      <xdr:row>19</xdr:row>
      <xdr:rowOff>180976</xdr:rowOff>
    </xdr:to>
    <xdr:cxnSp macro="">
      <xdr:nvCxnSpPr>
        <xdr:cNvPr id="5" name="4 Conector recto"/>
        <xdr:cNvCxnSpPr/>
      </xdr:nvCxnSpPr>
      <xdr:spPr>
        <a:xfrm rot="16200000" flipH="1">
          <a:off x="61483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17</xdr:row>
      <xdr:rowOff>114299</xdr:rowOff>
    </xdr:from>
    <xdr:to>
      <xdr:col>9</xdr:col>
      <xdr:colOff>476251</xdr:colOff>
      <xdr:row>19</xdr:row>
      <xdr:rowOff>180974</xdr:rowOff>
    </xdr:to>
    <xdr:cxnSp macro="">
      <xdr:nvCxnSpPr>
        <xdr:cNvPr id="6" name="5 Conector recto"/>
        <xdr:cNvCxnSpPr/>
      </xdr:nvCxnSpPr>
      <xdr:spPr>
        <a:xfrm rot="5400000">
          <a:off x="5738813" y="3576637"/>
          <a:ext cx="447675" cy="0"/>
        </a:xfrm>
        <a:prstGeom prst="line">
          <a:avLst/>
        </a:prstGeom>
        <a:ln>
          <a:prstDash val="dash"/>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533400</xdr:colOff>
      <xdr:row>14</xdr:row>
      <xdr:rowOff>161926</xdr:rowOff>
    </xdr:from>
    <xdr:to>
      <xdr:col>11</xdr:col>
      <xdr:colOff>542925</xdr:colOff>
      <xdr:row>19</xdr:row>
      <xdr:rowOff>180976</xdr:rowOff>
    </xdr:to>
    <xdr:cxnSp macro="">
      <xdr:nvCxnSpPr>
        <xdr:cNvPr id="7" name="6 Conector recto"/>
        <xdr:cNvCxnSpPr/>
      </xdr:nvCxnSpPr>
      <xdr:spPr>
        <a:xfrm rot="16200000" flipH="1">
          <a:off x="67579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101600</xdr:colOff>
      <xdr:row>4</xdr:row>
      <xdr:rowOff>177800</xdr:rowOff>
    </xdr:from>
    <xdr:to>
      <xdr:col>21</xdr:col>
      <xdr:colOff>241300</xdr:colOff>
      <xdr:row>23</xdr:row>
      <xdr:rowOff>165100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0.06137</cdr:x>
      <cdr:y>0.34808</cdr:y>
    </cdr:from>
    <cdr:to>
      <cdr:x>0.62455</cdr:x>
      <cdr:y>0.34808</cdr:y>
    </cdr:to>
    <cdr:cxnSp macro="">
      <cdr:nvCxnSpPr>
        <cdr:cNvPr id="4" name="3 Conector recto"/>
        <cdr:cNvCxnSpPr/>
      </cdr:nvCxnSpPr>
      <cdr:spPr>
        <a:xfrm xmlns:a="http://schemas.openxmlformats.org/drawingml/2006/main">
          <a:off x="431800" y="1498600"/>
          <a:ext cx="3962400" cy="0"/>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0.63899</cdr:x>
      <cdr:y>0.31563</cdr:y>
    </cdr:from>
    <cdr:to>
      <cdr:x>0.70939</cdr:x>
      <cdr:y>0.37168</cdr:y>
    </cdr:to>
    <cdr:sp macro="" textlink="">
      <cdr:nvSpPr>
        <cdr:cNvPr id="5" name="4 CuadroTexto"/>
        <cdr:cNvSpPr txBox="1"/>
      </cdr:nvSpPr>
      <cdr:spPr>
        <a:xfrm xmlns:a="http://schemas.openxmlformats.org/drawingml/2006/main">
          <a:off x="4495800" y="1358900"/>
          <a:ext cx="495300" cy="2413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UY" sz="1100"/>
            <a:t>p*</a:t>
          </a:r>
        </a:p>
        <a:p xmlns:a="http://schemas.openxmlformats.org/drawingml/2006/main">
          <a:endParaRPr lang="es-UY" sz="1100"/>
        </a:p>
      </cdr:txBody>
    </cdr:sp>
  </cdr:relSizeAnchor>
</c:userShapes>
</file>

<file path=xl/drawings/drawing3.xml><?xml version="1.0" encoding="utf-8"?>
<c:userShapes xmlns:c="http://schemas.openxmlformats.org/drawingml/2006/chart">
  <cdr:relSizeAnchor xmlns:cdr="http://schemas.openxmlformats.org/drawingml/2006/chartDrawing">
    <cdr:from>
      <cdr:x>0.26014</cdr:x>
      <cdr:y>0.10658</cdr:y>
    </cdr:from>
    <cdr:to>
      <cdr:x>0.33986</cdr:x>
      <cdr:y>0.29885</cdr:y>
    </cdr:to>
    <cdr:cxnSp macro="">
      <cdr:nvCxnSpPr>
        <cdr:cNvPr id="3" name="2 Conector recto de flecha"/>
        <cdr:cNvCxnSpPr/>
      </cdr:nvCxnSpPr>
      <cdr:spPr>
        <a:xfrm xmlns:a="http://schemas.openxmlformats.org/drawingml/2006/main" flipH="1">
          <a:off x="2362200" y="647700"/>
          <a:ext cx="723900" cy="1168400"/>
        </a:xfrm>
        <a:prstGeom xmlns:a="http://schemas.openxmlformats.org/drawingml/2006/main" prst="straightConnector1">
          <a:avLst/>
        </a:prstGeom>
        <a:ln xmlns:a="http://schemas.openxmlformats.org/drawingml/2006/main">
          <a:tailEnd type="arrow"/>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0.35664</cdr:x>
      <cdr:y>0.07732</cdr:y>
    </cdr:from>
    <cdr:to>
      <cdr:x>0.47273</cdr:x>
      <cdr:y>0.17346</cdr:y>
    </cdr:to>
    <cdr:sp macro="" textlink="">
      <cdr:nvSpPr>
        <cdr:cNvPr id="4" name="3 CuadroTexto"/>
        <cdr:cNvSpPr txBox="1"/>
      </cdr:nvSpPr>
      <cdr:spPr>
        <a:xfrm xmlns:a="http://schemas.openxmlformats.org/drawingml/2006/main">
          <a:off x="3238500" y="469900"/>
          <a:ext cx="1054100" cy="584200"/>
        </a:xfrm>
        <a:prstGeom xmlns:a="http://schemas.openxmlformats.org/drawingml/2006/main" prst="rect">
          <a:avLst/>
        </a:prstGeom>
        <a:solidFill xmlns:a="http://schemas.openxmlformats.org/drawingml/2006/main">
          <a:srgbClr val="00B050"/>
        </a:solidFill>
      </cdr:spPr>
      <cdr:txBody>
        <a:bodyPr xmlns:a="http://schemas.openxmlformats.org/drawingml/2006/main" vertOverflow="clip" wrap="square" rtlCol="0"/>
        <a:lstStyle xmlns:a="http://schemas.openxmlformats.org/drawingml/2006/main"/>
        <a:p xmlns:a="http://schemas.openxmlformats.org/drawingml/2006/main">
          <a:r>
            <a:rPr lang="es-UY" sz="1100"/>
            <a:t>DAP</a:t>
          </a:r>
          <a:r>
            <a:rPr lang="es-UY" sz="1100" baseline="0"/>
            <a:t> en L = 28 (OFERTA)</a:t>
          </a:r>
        </a:p>
        <a:p xmlns:a="http://schemas.openxmlformats.org/drawingml/2006/main">
          <a:endParaRPr lang="es-UY" sz="1100"/>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101600</xdr:colOff>
      <xdr:row>4</xdr:row>
      <xdr:rowOff>177800</xdr:rowOff>
    </xdr:from>
    <xdr:to>
      <xdr:col>21</xdr:col>
      <xdr:colOff>241300</xdr:colOff>
      <xdr:row>23</xdr:row>
      <xdr:rowOff>165100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215899</xdr:colOff>
      <xdr:row>17</xdr:row>
      <xdr:rowOff>136525</xdr:rowOff>
    </xdr:from>
    <xdr:to>
      <xdr:col>26</xdr:col>
      <xdr:colOff>95249</xdr:colOff>
      <xdr:row>37</xdr:row>
      <xdr:rowOff>98425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466725</xdr:colOff>
      <xdr:row>58</xdr:row>
      <xdr:rowOff>25400</xdr:rowOff>
    </xdr:from>
    <xdr:to>
      <xdr:col>27</xdr:col>
      <xdr:colOff>139700</xdr:colOff>
      <xdr:row>86</xdr:row>
      <xdr:rowOff>50800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381000</xdr:colOff>
      <xdr:row>90</xdr:row>
      <xdr:rowOff>177800</xdr:rowOff>
    </xdr:from>
    <xdr:to>
      <xdr:col>17</xdr:col>
      <xdr:colOff>774700</xdr:colOff>
      <xdr:row>111</xdr:row>
      <xdr:rowOff>139700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0.53072</cdr:x>
      <cdr:y>0.03788</cdr:y>
    </cdr:from>
    <cdr:to>
      <cdr:x>0.53072</cdr:x>
      <cdr:y>0.85101</cdr:y>
    </cdr:to>
    <cdr:sp macro="" textlink="">
      <cdr:nvSpPr>
        <cdr:cNvPr id="3" name="2 Conector recto"/>
        <cdr:cNvSpPr/>
      </cdr:nvSpPr>
      <cdr:spPr>
        <a:xfrm xmlns:a="http://schemas.openxmlformats.org/drawingml/2006/main" rot="5400000" flipH="1" flipV="1">
          <a:off x="2962275" y="142875"/>
          <a:ext cx="0" cy="3067050"/>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s-ES"/>
        </a:p>
      </cdr:txBody>
    </cdr:sp>
  </cdr:relSizeAnchor>
  <cdr:relSizeAnchor xmlns:cdr="http://schemas.openxmlformats.org/drawingml/2006/chartDrawing">
    <cdr:from>
      <cdr:x>0.92042</cdr:x>
      <cdr:y>0.04293</cdr:y>
    </cdr:from>
    <cdr:to>
      <cdr:x>0.92042</cdr:x>
      <cdr:y>0.85606</cdr:y>
    </cdr:to>
    <cdr:sp macro="" textlink="">
      <cdr:nvSpPr>
        <cdr:cNvPr id="4" name="1 Conector recto"/>
        <cdr:cNvSpPr/>
      </cdr:nvSpPr>
      <cdr:spPr>
        <a:xfrm xmlns:a="http://schemas.openxmlformats.org/drawingml/2006/main" rot="5400000" flipH="1" flipV="1">
          <a:off x="4208857" y="1695451"/>
          <a:ext cx="3067045" cy="0"/>
        </a:xfrm>
        <a:prstGeom xmlns:a="http://schemas.openxmlformats.org/drawingml/2006/main" prst="line">
          <a:avLst/>
        </a:prstGeom>
        <a:noFill xmlns:a="http://schemas.openxmlformats.org/drawingml/2006/main"/>
        <a:ln xmlns:a="http://schemas.openxmlformats.org/drawingml/2006/main" w="38100" cap="flat" cmpd="sng" algn="ctr">
          <a:solidFill>
            <a:sysClr val="windowText" lastClr="000000"/>
          </a:solidFill>
          <a:prstDash val="solid"/>
        </a:ln>
        <a:effectLst xmlns:a="http://schemas.openxmlformats.org/drawingml/2006/main">
          <a:outerShdw blurRad="40000" dist="23000" dir="5400000" rotWithShape="0">
            <a:srgbClr val="000000">
              <a:alpha val="35000"/>
            </a:srgbClr>
          </a:outerShdw>
        </a:effectLst>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s-ES"/>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466725</xdr:colOff>
      <xdr:row>59</xdr:row>
      <xdr:rowOff>25400</xdr:rowOff>
    </xdr:from>
    <xdr:to>
      <xdr:col>27</xdr:col>
      <xdr:colOff>139700</xdr:colOff>
      <xdr:row>87</xdr:row>
      <xdr:rowOff>50800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88900</xdr:colOff>
      <xdr:row>87</xdr:row>
      <xdr:rowOff>88900</xdr:rowOff>
    </xdr:from>
    <xdr:to>
      <xdr:col>18</xdr:col>
      <xdr:colOff>0</xdr:colOff>
      <xdr:row>108</xdr:row>
      <xdr:rowOff>50800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8</xdr:row>
      <xdr:rowOff>133350</xdr:rowOff>
    </xdr:from>
    <xdr:to>
      <xdr:col>13</xdr:col>
      <xdr:colOff>419100</xdr:colOff>
      <xdr:row>23</xdr:row>
      <xdr:rowOff>19050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12</xdr:col>
      <xdr:colOff>0</xdr:colOff>
      <xdr:row>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180976</xdr:colOff>
      <xdr:row>8</xdr:row>
      <xdr:rowOff>85725</xdr:rowOff>
    </xdr:from>
    <xdr:to>
      <xdr:col>8</xdr:col>
      <xdr:colOff>190501</xdr:colOff>
      <xdr:row>20</xdr:row>
      <xdr:rowOff>0</xdr:rowOff>
    </xdr:to>
    <xdr:cxnSp macro="">
      <xdr:nvCxnSpPr>
        <xdr:cNvPr id="4" name="3 Conector recto"/>
        <xdr:cNvCxnSpPr/>
      </xdr:nvCxnSpPr>
      <xdr:spPr>
        <a:xfrm rot="16200000" flipV="1">
          <a:off x="3962401" y="2705100"/>
          <a:ext cx="2200275"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419100</xdr:colOff>
      <xdr:row>8</xdr:row>
      <xdr:rowOff>95250</xdr:rowOff>
    </xdr:from>
    <xdr:to>
      <xdr:col>8</xdr:col>
      <xdr:colOff>419100</xdr:colOff>
      <xdr:row>20</xdr:row>
      <xdr:rowOff>19050</xdr:rowOff>
    </xdr:to>
    <xdr:cxnSp macro="">
      <xdr:nvCxnSpPr>
        <xdr:cNvPr id="6" name="5 Conector recto"/>
        <xdr:cNvCxnSpPr/>
      </xdr:nvCxnSpPr>
      <xdr:spPr>
        <a:xfrm rot="5400000" flipH="1" flipV="1">
          <a:off x="4191000" y="2724150"/>
          <a:ext cx="2209800" cy="0"/>
        </a:xfrm>
        <a:prstGeom prst="line">
          <a:avLst/>
        </a:prstGeom>
        <a:ln w="317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533400</xdr:colOff>
      <xdr:row>14</xdr:row>
      <xdr:rowOff>161926</xdr:rowOff>
    </xdr:from>
    <xdr:to>
      <xdr:col>10</xdr:col>
      <xdr:colOff>542925</xdr:colOff>
      <xdr:row>19</xdr:row>
      <xdr:rowOff>180976</xdr:rowOff>
    </xdr:to>
    <xdr:cxnSp macro="">
      <xdr:nvCxnSpPr>
        <xdr:cNvPr id="8" name="7 Conector recto"/>
        <xdr:cNvCxnSpPr/>
      </xdr:nvCxnSpPr>
      <xdr:spPr>
        <a:xfrm rot="16200000" flipH="1">
          <a:off x="6148388" y="3309938"/>
          <a:ext cx="971550" cy="95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17</xdr:row>
      <xdr:rowOff>114299</xdr:rowOff>
    </xdr:from>
    <xdr:to>
      <xdr:col>9</xdr:col>
      <xdr:colOff>476251</xdr:colOff>
      <xdr:row>19</xdr:row>
      <xdr:rowOff>180974</xdr:rowOff>
    </xdr:to>
    <xdr:cxnSp macro="">
      <xdr:nvCxnSpPr>
        <xdr:cNvPr id="10" name="9 Conector recto"/>
        <xdr:cNvCxnSpPr/>
      </xdr:nvCxnSpPr>
      <xdr:spPr>
        <a:xfrm rot="5400000">
          <a:off x="5738813" y="3576637"/>
          <a:ext cx="447675" cy="0"/>
        </a:xfrm>
        <a:prstGeom prst="line">
          <a:avLst/>
        </a:prstGeom>
        <a:ln>
          <a:prstDash val="dash"/>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6"/>
  <sheetViews>
    <sheetView topLeftCell="A37" zoomScale="75" zoomScaleNormal="75" workbookViewId="0">
      <selection activeCell="F37" sqref="F37"/>
    </sheetView>
  </sheetViews>
  <sheetFormatPr baseColWidth="10" defaultRowHeight="15" x14ac:dyDescent="0.25"/>
  <cols>
    <col min="1" max="1" width="11.85546875" bestFit="1" customWidth="1"/>
    <col min="2" max="2" width="12.85546875" customWidth="1"/>
    <col min="3" max="3" width="14.140625" customWidth="1"/>
    <col min="4" max="4" width="12.28515625" customWidth="1"/>
    <col min="5" max="5" width="10.85546875" customWidth="1"/>
    <col min="6" max="6" width="11.140625" bestFit="1" customWidth="1"/>
    <col min="7" max="7" width="13.140625" customWidth="1"/>
    <col min="8" max="8" width="10.28515625" customWidth="1"/>
    <col min="9" max="9" width="10.85546875" bestFit="1" customWidth="1"/>
    <col min="10" max="10" width="9.42578125" bestFit="1" customWidth="1"/>
    <col min="11" max="11" width="10.85546875" customWidth="1"/>
    <col min="12" max="12" width="9.42578125" bestFit="1" customWidth="1"/>
    <col min="13" max="13" width="10.85546875" customWidth="1"/>
    <col min="15" max="15" width="11.42578125" customWidth="1"/>
  </cols>
  <sheetData>
    <row r="1" spans="1:17" x14ac:dyDescent="0.25">
      <c r="A1" t="s">
        <v>5</v>
      </c>
      <c r="I1" s="96"/>
      <c r="J1" s="152" t="s">
        <v>37</v>
      </c>
      <c r="K1" s="154"/>
      <c r="L1" s="153"/>
      <c r="M1" s="152" t="s">
        <v>38</v>
      </c>
      <c r="N1" s="153"/>
      <c r="O1" s="97"/>
    </row>
    <row r="2" spans="1:17" x14ac:dyDescent="0.25">
      <c r="A2" t="s">
        <v>0</v>
      </c>
      <c r="B2" t="s">
        <v>1</v>
      </c>
      <c r="C2" t="s">
        <v>2</v>
      </c>
      <c r="D2" t="s">
        <v>4</v>
      </c>
      <c r="I2" s="98" t="s">
        <v>21</v>
      </c>
      <c r="J2" s="99" t="s">
        <v>18</v>
      </c>
      <c r="K2" s="99" t="s">
        <v>20</v>
      </c>
      <c r="L2" s="99" t="s">
        <v>220</v>
      </c>
      <c r="M2" s="99" t="s">
        <v>18</v>
      </c>
      <c r="N2" s="100" t="s">
        <v>20</v>
      </c>
      <c r="O2" s="101" t="s">
        <v>220</v>
      </c>
      <c r="Q2" s="78" t="s">
        <v>221</v>
      </c>
    </row>
    <row r="3" spans="1:17" x14ac:dyDescent="0.25">
      <c r="A3">
        <f>18-C3</f>
        <v>6</v>
      </c>
      <c r="B3">
        <f>9-C3/2</f>
        <v>3</v>
      </c>
      <c r="C3">
        <v>12</v>
      </c>
      <c r="D3">
        <f>+A3*4+B3*4</f>
        <v>36</v>
      </c>
      <c r="I3" s="102" t="s">
        <v>19</v>
      </c>
      <c r="J3" s="103" t="s">
        <v>22</v>
      </c>
      <c r="K3" s="99" t="s">
        <v>23</v>
      </c>
      <c r="L3" s="99" t="s">
        <v>18</v>
      </c>
      <c r="M3" s="103" t="s">
        <v>40</v>
      </c>
      <c r="N3" s="100" t="s">
        <v>39</v>
      </c>
      <c r="O3" s="101" t="s">
        <v>18</v>
      </c>
      <c r="Q3" s="78" t="s">
        <v>222</v>
      </c>
    </row>
    <row r="4" spans="1:17" x14ac:dyDescent="0.25">
      <c r="A4">
        <f>18-C4</f>
        <v>5</v>
      </c>
      <c r="B4">
        <f>9-C4/2</f>
        <v>2.5</v>
      </c>
      <c r="C4">
        <v>13</v>
      </c>
      <c r="D4">
        <f>+A4*4+B4*4</f>
        <v>30</v>
      </c>
      <c r="I4" s="104">
        <v>0</v>
      </c>
      <c r="J4" s="105">
        <f>18*I4-POWER(I4,2)/2</f>
        <v>0</v>
      </c>
      <c r="K4" s="105">
        <f>18-I4</f>
        <v>18</v>
      </c>
      <c r="L4" s="106"/>
      <c r="M4" s="105">
        <f t="shared" ref="M4:M24" si="0">18*I4-POWER(I4,2)</f>
        <v>0</v>
      </c>
      <c r="N4" s="105">
        <f t="shared" ref="N4:N24" si="1">18-2*I4</f>
        <v>18</v>
      </c>
      <c r="O4" s="107"/>
      <c r="P4" s="75" t="s">
        <v>3</v>
      </c>
      <c r="Q4" s="75" t="s">
        <v>223</v>
      </c>
    </row>
    <row r="5" spans="1:17" x14ac:dyDescent="0.25">
      <c r="A5">
        <f>18-C5</f>
        <v>4</v>
      </c>
      <c r="B5">
        <f>9-C5/2</f>
        <v>2</v>
      </c>
      <c r="C5">
        <v>14</v>
      </c>
      <c r="D5">
        <f>+A5*4+B5*4</f>
        <v>24</v>
      </c>
      <c r="I5" s="108">
        <v>1</v>
      </c>
      <c r="J5" s="105">
        <f>18*I5-POWER(I5,2)/2</f>
        <v>17.5</v>
      </c>
      <c r="K5" s="105">
        <f t="shared" ref="K5:K24" si="2">18-I5</f>
        <v>17</v>
      </c>
      <c r="L5" s="109">
        <f>+J5-J4</f>
        <v>17.5</v>
      </c>
      <c r="M5" s="105">
        <f t="shared" si="0"/>
        <v>17</v>
      </c>
      <c r="N5" s="105">
        <f t="shared" si="1"/>
        <v>16</v>
      </c>
      <c r="O5" s="110">
        <f>+M5-M4</f>
        <v>17</v>
      </c>
      <c r="P5" s="75">
        <v>4</v>
      </c>
      <c r="Q5" s="75">
        <v>17.5</v>
      </c>
    </row>
    <row r="6" spans="1:17" x14ac:dyDescent="0.25">
      <c r="I6" s="108">
        <v>2</v>
      </c>
      <c r="J6" s="105">
        <f t="shared" ref="J6:J24" si="3">18*I6-POWER(I6,2)/2</f>
        <v>34</v>
      </c>
      <c r="K6" s="105">
        <f t="shared" si="2"/>
        <v>16</v>
      </c>
      <c r="L6" s="109">
        <f t="shared" ref="L6:L24" si="4">+J6-J5</f>
        <v>16.5</v>
      </c>
      <c r="M6" s="105">
        <f t="shared" si="0"/>
        <v>32</v>
      </c>
      <c r="N6" s="105">
        <f t="shared" si="1"/>
        <v>14</v>
      </c>
      <c r="O6" s="110">
        <f t="shared" ref="O6:O24" si="5">+M6-M5</f>
        <v>15</v>
      </c>
      <c r="P6" s="75">
        <f>+P5+4</f>
        <v>8</v>
      </c>
      <c r="Q6" s="75">
        <v>17</v>
      </c>
    </row>
    <row r="7" spans="1:17" x14ac:dyDescent="0.25">
      <c r="I7" s="108">
        <v>3</v>
      </c>
      <c r="J7" s="105">
        <f t="shared" si="3"/>
        <v>49.5</v>
      </c>
      <c r="K7" s="105">
        <f t="shared" si="2"/>
        <v>15</v>
      </c>
      <c r="L7" s="109">
        <f t="shared" si="4"/>
        <v>15.5</v>
      </c>
      <c r="M7" s="111">
        <f t="shared" si="0"/>
        <v>45</v>
      </c>
      <c r="N7" s="105">
        <f t="shared" si="1"/>
        <v>12</v>
      </c>
      <c r="O7" s="110">
        <f t="shared" si="5"/>
        <v>13</v>
      </c>
      <c r="P7" s="75">
        <f t="shared" ref="P7:P31" si="6">+P6+4</f>
        <v>12</v>
      </c>
      <c r="Q7" s="75">
        <v>16.5</v>
      </c>
    </row>
    <row r="8" spans="1:17" x14ac:dyDescent="0.25">
      <c r="A8" t="s">
        <v>6</v>
      </c>
      <c r="B8">
        <v>4</v>
      </c>
      <c r="C8">
        <v>5</v>
      </c>
      <c r="G8" t="s">
        <v>14</v>
      </c>
      <c r="I8" s="108">
        <v>4</v>
      </c>
      <c r="J8" s="105">
        <f t="shared" si="3"/>
        <v>64</v>
      </c>
      <c r="K8" s="105">
        <f t="shared" si="2"/>
        <v>14</v>
      </c>
      <c r="L8" s="109">
        <f t="shared" si="4"/>
        <v>14.5</v>
      </c>
      <c r="M8" s="111">
        <f t="shared" si="0"/>
        <v>56</v>
      </c>
      <c r="N8" s="105">
        <f t="shared" si="1"/>
        <v>10</v>
      </c>
      <c r="O8" s="110">
        <f t="shared" si="5"/>
        <v>11</v>
      </c>
      <c r="P8" s="75">
        <f t="shared" si="6"/>
        <v>16</v>
      </c>
      <c r="Q8" s="75">
        <v>15.5</v>
      </c>
    </row>
    <row r="9" spans="1:17" x14ac:dyDescent="0.25">
      <c r="A9" t="s">
        <v>7</v>
      </c>
      <c r="B9">
        <v>4</v>
      </c>
      <c r="C9">
        <v>5</v>
      </c>
      <c r="G9" t="s">
        <v>15</v>
      </c>
      <c r="I9" s="108">
        <v>5</v>
      </c>
      <c r="J9" s="105">
        <f t="shared" si="3"/>
        <v>77.5</v>
      </c>
      <c r="K9" s="105">
        <f t="shared" si="2"/>
        <v>13</v>
      </c>
      <c r="L9" s="109">
        <f t="shared" si="4"/>
        <v>13.5</v>
      </c>
      <c r="M9" s="111">
        <f t="shared" si="0"/>
        <v>65</v>
      </c>
      <c r="N9" s="105">
        <f t="shared" si="1"/>
        <v>8</v>
      </c>
      <c r="O9" s="110">
        <f t="shared" si="5"/>
        <v>9</v>
      </c>
      <c r="P9" s="75">
        <f t="shared" si="6"/>
        <v>20</v>
      </c>
      <c r="Q9" s="75">
        <v>15</v>
      </c>
    </row>
    <row r="10" spans="1:17" x14ac:dyDescent="0.25">
      <c r="A10" t="s">
        <v>8</v>
      </c>
      <c r="B10">
        <v>4</v>
      </c>
      <c r="C10">
        <v>5</v>
      </c>
      <c r="G10" t="s">
        <v>16</v>
      </c>
      <c r="I10" s="108">
        <v>6</v>
      </c>
      <c r="J10" s="105">
        <f t="shared" si="3"/>
        <v>90</v>
      </c>
      <c r="K10" s="105">
        <f t="shared" si="2"/>
        <v>12</v>
      </c>
      <c r="L10" s="109">
        <f t="shared" si="4"/>
        <v>12.5</v>
      </c>
      <c r="M10" s="105">
        <f t="shared" si="0"/>
        <v>72</v>
      </c>
      <c r="N10" s="105">
        <f t="shared" si="1"/>
        <v>6</v>
      </c>
      <c r="O10" s="110">
        <f t="shared" si="5"/>
        <v>7</v>
      </c>
      <c r="P10" s="75">
        <f t="shared" si="6"/>
        <v>24</v>
      </c>
      <c r="Q10" s="75">
        <v>14.5</v>
      </c>
    </row>
    <row r="11" spans="1:17" x14ac:dyDescent="0.25">
      <c r="A11" t="s">
        <v>9</v>
      </c>
      <c r="B11">
        <v>4</v>
      </c>
      <c r="C11">
        <v>5</v>
      </c>
      <c r="G11" t="s">
        <v>17</v>
      </c>
      <c r="I11" s="108">
        <v>7</v>
      </c>
      <c r="J11" s="105">
        <f t="shared" si="3"/>
        <v>101.5</v>
      </c>
      <c r="K11" s="105">
        <f t="shared" si="2"/>
        <v>11</v>
      </c>
      <c r="L11" s="109">
        <f t="shared" si="4"/>
        <v>11.5</v>
      </c>
      <c r="M11" s="105">
        <f t="shared" si="0"/>
        <v>77</v>
      </c>
      <c r="N11" s="105">
        <f t="shared" si="1"/>
        <v>4</v>
      </c>
      <c r="O11" s="110">
        <f t="shared" si="5"/>
        <v>5</v>
      </c>
      <c r="P11" s="75">
        <f t="shared" si="6"/>
        <v>28</v>
      </c>
      <c r="Q11" s="75">
        <v>13.5</v>
      </c>
    </row>
    <row r="12" spans="1:17" x14ac:dyDescent="0.25">
      <c r="A12" t="s">
        <v>10</v>
      </c>
      <c r="B12">
        <v>3</v>
      </c>
      <c r="C12">
        <v>2</v>
      </c>
      <c r="I12" s="108">
        <v>8</v>
      </c>
      <c r="J12" s="105">
        <f t="shared" si="3"/>
        <v>112</v>
      </c>
      <c r="K12" s="105">
        <f t="shared" si="2"/>
        <v>10</v>
      </c>
      <c r="L12" s="109">
        <f t="shared" si="4"/>
        <v>10.5</v>
      </c>
      <c r="M12" s="105">
        <f t="shared" si="0"/>
        <v>80</v>
      </c>
      <c r="N12" s="105">
        <f t="shared" si="1"/>
        <v>2</v>
      </c>
      <c r="O12" s="110">
        <f t="shared" si="5"/>
        <v>3</v>
      </c>
      <c r="P12" s="75">
        <f t="shared" si="6"/>
        <v>32</v>
      </c>
      <c r="Q12" s="75">
        <v>13</v>
      </c>
    </row>
    <row r="13" spans="1:17" x14ac:dyDescent="0.25">
      <c r="A13" t="s">
        <v>11</v>
      </c>
      <c r="B13">
        <v>3</v>
      </c>
      <c r="C13">
        <v>2</v>
      </c>
      <c r="I13" s="108">
        <v>9</v>
      </c>
      <c r="J13" s="105">
        <f t="shared" si="3"/>
        <v>121.5</v>
      </c>
      <c r="K13" s="105">
        <f t="shared" si="2"/>
        <v>9</v>
      </c>
      <c r="L13" s="109">
        <f t="shared" si="4"/>
        <v>9.5</v>
      </c>
      <c r="M13" s="105">
        <f t="shared" si="0"/>
        <v>81</v>
      </c>
      <c r="N13" s="105">
        <f t="shared" si="1"/>
        <v>0</v>
      </c>
      <c r="O13" s="110">
        <f t="shared" si="5"/>
        <v>1</v>
      </c>
      <c r="P13" s="75">
        <f t="shared" si="6"/>
        <v>36</v>
      </c>
      <c r="Q13" s="75">
        <v>12.5</v>
      </c>
    </row>
    <row r="14" spans="1:17" x14ac:dyDescent="0.25">
      <c r="A14" t="s">
        <v>12</v>
      </c>
      <c r="B14">
        <v>3</v>
      </c>
      <c r="C14">
        <v>2</v>
      </c>
      <c r="I14" s="108">
        <v>10</v>
      </c>
      <c r="J14" s="105">
        <f t="shared" si="3"/>
        <v>130</v>
      </c>
      <c r="K14" s="105">
        <f t="shared" si="2"/>
        <v>8</v>
      </c>
      <c r="L14" s="109">
        <f t="shared" si="4"/>
        <v>8.5</v>
      </c>
      <c r="M14" s="105">
        <f t="shared" si="0"/>
        <v>80</v>
      </c>
      <c r="N14" s="105">
        <f t="shared" si="1"/>
        <v>-2</v>
      </c>
      <c r="O14" s="110">
        <f t="shared" si="5"/>
        <v>-1</v>
      </c>
      <c r="P14" s="75">
        <f t="shared" si="6"/>
        <v>40</v>
      </c>
      <c r="Q14" s="75">
        <v>11.5</v>
      </c>
    </row>
    <row r="15" spans="1:17" x14ac:dyDescent="0.25">
      <c r="A15" t="s">
        <v>13</v>
      </c>
      <c r="B15">
        <v>3</v>
      </c>
      <c r="C15">
        <v>2</v>
      </c>
      <c r="I15" s="108">
        <v>11</v>
      </c>
      <c r="J15" s="105">
        <f t="shared" si="3"/>
        <v>137.5</v>
      </c>
      <c r="K15" s="105">
        <f t="shared" si="2"/>
        <v>7</v>
      </c>
      <c r="L15" s="109">
        <f t="shared" si="4"/>
        <v>7.5</v>
      </c>
      <c r="M15" s="105">
        <f t="shared" si="0"/>
        <v>77</v>
      </c>
      <c r="N15" s="105">
        <f t="shared" si="1"/>
        <v>-4</v>
      </c>
      <c r="O15" s="110">
        <f t="shared" si="5"/>
        <v>-3</v>
      </c>
      <c r="P15" s="75">
        <f t="shared" si="6"/>
        <v>44</v>
      </c>
      <c r="Q15" s="75">
        <v>11</v>
      </c>
    </row>
    <row r="16" spans="1:17" x14ac:dyDescent="0.25">
      <c r="A16" t="s">
        <v>3</v>
      </c>
      <c r="B16">
        <f>SUM(B8:B15)</f>
        <v>28</v>
      </c>
      <c r="C16">
        <f>SUM(C8:C15)</f>
        <v>28</v>
      </c>
      <c r="I16" s="108">
        <v>12</v>
      </c>
      <c r="J16" s="105">
        <f t="shared" si="3"/>
        <v>144</v>
      </c>
      <c r="K16" s="105">
        <f t="shared" si="2"/>
        <v>6</v>
      </c>
      <c r="L16" s="109">
        <f t="shared" si="4"/>
        <v>6.5</v>
      </c>
      <c r="M16" s="105">
        <f t="shared" si="0"/>
        <v>72</v>
      </c>
      <c r="N16" s="105">
        <f t="shared" si="1"/>
        <v>-6</v>
      </c>
      <c r="O16" s="110">
        <f t="shared" si="5"/>
        <v>-5</v>
      </c>
      <c r="P16" s="75">
        <f t="shared" si="6"/>
        <v>48</v>
      </c>
      <c r="Q16" s="75">
        <v>10.5</v>
      </c>
    </row>
    <row r="17" spans="1:17" x14ac:dyDescent="0.25">
      <c r="A17" t="s">
        <v>2</v>
      </c>
      <c r="B17">
        <f>(27-B16/4)*2/3</f>
        <v>13.333333333333334</v>
      </c>
      <c r="C17">
        <f>(27-C16/4)*2/3</f>
        <v>13.333333333333334</v>
      </c>
      <c r="I17" s="108">
        <v>13</v>
      </c>
      <c r="J17" s="105">
        <f t="shared" si="3"/>
        <v>149.5</v>
      </c>
      <c r="K17" s="105">
        <f t="shared" si="2"/>
        <v>5</v>
      </c>
      <c r="L17" s="109">
        <f t="shared" si="4"/>
        <v>5.5</v>
      </c>
      <c r="M17" s="105">
        <f t="shared" si="0"/>
        <v>65</v>
      </c>
      <c r="N17" s="105">
        <f t="shared" si="1"/>
        <v>-8</v>
      </c>
      <c r="O17" s="110">
        <f t="shared" si="5"/>
        <v>-7</v>
      </c>
      <c r="P17" s="75">
        <f t="shared" si="6"/>
        <v>52</v>
      </c>
      <c r="Q17" s="75">
        <v>9.5</v>
      </c>
    </row>
    <row r="18" spans="1:17" x14ac:dyDescent="0.25">
      <c r="I18" s="108">
        <v>14</v>
      </c>
      <c r="J18" s="105">
        <f t="shared" si="3"/>
        <v>154</v>
      </c>
      <c r="K18" s="105">
        <f t="shared" si="2"/>
        <v>4</v>
      </c>
      <c r="L18" s="109">
        <f t="shared" si="4"/>
        <v>4.5</v>
      </c>
      <c r="M18" s="105">
        <f t="shared" si="0"/>
        <v>56</v>
      </c>
      <c r="N18" s="105">
        <f t="shared" si="1"/>
        <v>-10</v>
      </c>
      <c r="O18" s="110">
        <f t="shared" si="5"/>
        <v>-9</v>
      </c>
      <c r="P18" s="75">
        <f t="shared" si="6"/>
        <v>56</v>
      </c>
      <c r="Q18" s="75">
        <v>9</v>
      </c>
    </row>
    <row r="19" spans="1:17" x14ac:dyDescent="0.25">
      <c r="I19" s="108">
        <v>15</v>
      </c>
      <c r="J19" s="105">
        <f t="shared" si="3"/>
        <v>157.5</v>
      </c>
      <c r="K19" s="105">
        <f t="shared" si="2"/>
        <v>3</v>
      </c>
      <c r="L19" s="109">
        <f t="shared" si="4"/>
        <v>3.5</v>
      </c>
      <c r="M19" s="105">
        <f t="shared" si="0"/>
        <v>45</v>
      </c>
      <c r="N19" s="105">
        <f t="shared" si="1"/>
        <v>-12</v>
      </c>
      <c r="O19" s="110">
        <f t="shared" si="5"/>
        <v>-11</v>
      </c>
      <c r="P19" s="75">
        <f t="shared" si="6"/>
        <v>60</v>
      </c>
      <c r="Q19" s="75">
        <v>8.5</v>
      </c>
    </row>
    <row r="20" spans="1:17" x14ac:dyDescent="0.25">
      <c r="D20" s="45"/>
      <c r="I20" s="108">
        <v>16</v>
      </c>
      <c r="J20" s="105">
        <f t="shared" si="3"/>
        <v>160</v>
      </c>
      <c r="K20" s="105">
        <f t="shared" si="2"/>
        <v>2</v>
      </c>
      <c r="L20" s="109">
        <f t="shared" si="4"/>
        <v>2.5</v>
      </c>
      <c r="M20" s="105">
        <f t="shared" si="0"/>
        <v>32</v>
      </c>
      <c r="N20" s="105">
        <f t="shared" si="1"/>
        <v>-14</v>
      </c>
      <c r="O20" s="110">
        <f t="shared" si="5"/>
        <v>-13</v>
      </c>
      <c r="P20" s="75">
        <f t="shared" si="6"/>
        <v>64</v>
      </c>
      <c r="Q20" s="75">
        <v>7.5</v>
      </c>
    </row>
    <row r="21" spans="1:17" x14ac:dyDescent="0.25">
      <c r="I21" s="108">
        <v>17</v>
      </c>
      <c r="J21" s="105">
        <f t="shared" si="3"/>
        <v>161.5</v>
      </c>
      <c r="K21" s="105">
        <f t="shared" si="2"/>
        <v>1</v>
      </c>
      <c r="L21" s="109">
        <f t="shared" si="4"/>
        <v>1.5</v>
      </c>
      <c r="M21" s="105">
        <f t="shared" si="0"/>
        <v>17</v>
      </c>
      <c r="N21" s="105">
        <f t="shared" si="1"/>
        <v>-16</v>
      </c>
      <c r="O21" s="110">
        <f t="shared" si="5"/>
        <v>-15</v>
      </c>
      <c r="P21" s="75">
        <f t="shared" si="6"/>
        <v>68</v>
      </c>
      <c r="Q21" s="75">
        <v>7</v>
      </c>
    </row>
    <row r="22" spans="1:17" x14ac:dyDescent="0.25">
      <c r="I22" s="108">
        <v>18</v>
      </c>
      <c r="J22" s="105">
        <f t="shared" si="3"/>
        <v>162</v>
      </c>
      <c r="K22" s="105">
        <f t="shared" si="2"/>
        <v>0</v>
      </c>
      <c r="L22" s="109">
        <f t="shared" si="4"/>
        <v>0.5</v>
      </c>
      <c r="M22" s="105">
        <f t="shared" si="0"/>
        <v>0</v>
      </c>
      <c r="N22" s="105">
        <f t="shared" si="1"/>
        <v>-18</v>
      </c>
      <c r="O22" s="110">
        <f t="shared" si="5"/>
        <v>-17</v>
      </c>
      <c r="P22" s="75">
        <f t="shared" si="6"/>
        <v>72</v>
      </c>
      <c r="Q22" s="75">
        <v>6.5</v>
      </c>
    </row>
    <row r="23" spans="1:17" x14ac:dyDescent="0.25">
      <c r="I23" s="108">
        <v>19</v>
      </c>
      <c r="J23" s="105">
        <f t="shared" si="3"/>
        <v>161.5</v>
      </c>
      <c r="K23" s="105">
        <f t="shared" si="2"/>
        <v>-1</v>
      </c>
      <c r="L23" s="109">
        <f t="shared" si="4"/>
        <v>-0.5</v>
      </c>
      <c r="M23" s="105">
        <f t="shared" si="0"/>
        <v>-19</v>
      </c>
      <c r="N23" s="105">
        <f t="shared" si="1"/>
        <v>-20</v>
      </c>
      <c r="O23" s="110">
        <f t="shared" si="5"/>
        <v>-19</v>
      </c>
      <c r="P23" s="75">
        <f t="shared" si="6"/>
        <v>76</v>
      </c>
      <c r="Q23" s="75">
        <v>5.5</v>
      </c>
    </row>
    <row r="24" spans="1:17" ht="15.75" thickBot="1" x14ac:dyDescent="0.3">
      <c r="I24" s="112">
        <v>20</v>
      </c>
      <c r="J24" s="113">
        <f t="shared" si="3"/>
        <v>160</v>
      </c>
      <c r="K24" s="113">
        <f t="shared" si="2"/>
        <v>-2</v>
      </c>
      <c r="L24" s="114">
        <f t="shared" si="4"/>
        <v>-1.5</v>
      </c>
      <c r="M24" s="113">
        <f t="shared" si="0"/>
        <v>-40</v>
      </c>
      <c r="N24" s="113">
        <f t="shared" si="1"/>
        <v>-22</v>
      </c>
      <c r="O24" s="115">
        <f t="shared" si="5"/>
        <v>-21</v>
      </c>
      <c r="P24" s="75">
        <f t="shared" si="6"/>
        <v>80</v>
      </c>
      <c r="Q24" s="75">
        <v>5</v>
      </c>
    </row>
    <row r="25" spans="1:17" x14ac:dyDescent="0.25">
      <c r="P25" s="75">
        <f t="shared" si="6"/>
        <v>84</v>
      </c>
      <c r="Q25" s="75">
        <v>4.5</v>
      </c>
    </row>
    <row r="26" spans="1:17" x14ac:dyDescent="0.25">
      <c r="A26" s="1" t="s">
        <v>24</v>
      </c>
      <c r="P26" s="75">
        <f t="shared" si="6"/>
        <v>88</v>
      </c>
      <c r="Q26" s="75">
        <v>3.5</v>
      </c>
    </row>
    <row r="27" spans="1:17" x14ac:dyDescent="0.25">
      <c r="A27" t="s">
        <v>26</v>
      </c>
      <c r="P27" s="75">
        <f t="shared" si="6"/>
        <v>92</v>
      </c>
      <c r="Q27" s="75">
        <v>3</v>
      </c>
    </row>
    <row r="28" spans="1:17" x14ac:dyDescent="0.25">
      <c r="A28" t="s">
        <v>25</v>
      </c>
      <c r="H28" s="1" t="s">
        <v>31</v>
      </c>
      <c r="P28" s="75">
        <f t="shared" si="6"/>
        <v>96</v>
      </c>
      <c r="Q28" s="75">
        <v>2.5</v>
      </c>
    </row>
    <row r="29" spans="1:17" x14ac:dyDescent="0.25">
      <c r="A29" s="2" t="s">
        <v>27</v>
      </c>
      <c r="B29" s="2" t="s">
        <v>44</v>
      </c>
      <c r="C29" s="2" t="s">
        <v>43</v>
      </c>
      <c r="D29" s="2" t="s">
        <v>28</v>
      </c>
      <c r="E29" s="2" t="s">
        <v>29</v>
      </c>
      <c r="F29" s="2" t="s">
        <v>8</v>
      </c>
      <c r="G29" s="2" t="s">
        <v>9</v>
      </c>
      <c r="H29" s="2" t="s">
        <v>30</v>
      </c>
      <c r="I29" s="2" t="s">
        <v>41</v>
      </c>
      <c r="J29" s="2" t="s">
        <v>32</v>
      </c>
      <c r="K29" s="2" t="s">
        <v>33</v>
      </c>
      <c r="L29" s="2" t="s">
        <v>34</v>
      </c>
      <c r="M29" s="2" t="s">
        <v>35</v>
      </c>
      <c r="N29" s="2" t="s">
        <v>36</v>
      </c>
      <c r="O29" s="2" t="s">
        <v>42</v>
      </c>
      <c r="P29" s="75">
        <f t="shared" si="6"/>
        <v>100</v>
      </c>
      <c r="Q29" s="75">
        <v>1.5</v>
      </c>
    </row>
    <row r="30" spans="1:17" x14ac:dyDescent="0.25">
      <c r="A30" t="e">
        <f>18-(#REF!/4)</f>
        <v>#REF!</v>
      </c>
      <c r="C30">
        <f>18-(G30+1)</f>
        <v>17</v>
      </c>
      <c r="D30" s="3">
        <v>0</v>
      </c>
      <c r="E30" s="4">
        <v>0</v>
      </c>
      <c r="F30" s="4">
        <v>0</v>
      </c>
      <c r="G30" s="4">
        <v>0</v>
      </c>
      <c r="H30">
        <f>SUM(D30:G30)</f>
        <v>0</v>
      </c>
      <c r="I30" s="2"/>
      <c r="J30" s="2"/>
      <c r="K30" s="2"/>
      <c r="L30" s="2"/>
      <c r="M30" s="2"/>
      <c r="N30" s="2"/>
      <c r="P30" s="75">
        <f t="shared" si="6"/>
        <v>104</v>
      </c>
      <c r="Q30" s="75">
        <v>1</v>
      </c>
    </row>
    <row r="31" spans="1:17" x14ac:dyDescent="0.25">
      <c r="A31" t="e">
        <f>18-(#REF!/4)</f>
        <v>#REF!</v>
      </c>
      <c r="C31">
        <f t="shared" ref="C31:C54" si="7">18-(G31+1)</f>
        <v>17</v>
      </c>
      <c r="D31" s="4">
        <v>1</v>
      </c>
      <c r="E31" s="3">
        <v>0</v>
      </c>
      <c r="F31" s="4">
        <v>0</v>
      </c>
      <c r="G31" s="4">
        <v>0</v>
      </c>
      <c r="H31">
        <f t="shared" ref="H31:H54" si="8">SUM(D31:G31)</f>
        <v>1</v>
      </c>
      <c r="I31" s="2"/>
      <c r="J31" s="2"/>
      <c r="K31" s="2"/>
      <c r="L31" s="2"/>
      <c r="M31" s="2"/>
      <c r="N31" s="2"/>
      <c r="P31" s="75">
        <f t="shared" si="6"/>
        <v>108</v>
      </c>
      <c r="Q31" s="75">
        <v>0.5</v>
      </c>
    </row>
    <row r="32" spans="1:17" x14ac:dyDescent="0.25">
      <c r="A32" t="e">
        <f>18-(#REF!/4)</f>
        <v>#REF!</v>
      </c>
      <c r="C32">
        <f t="shared" si="7"/>
        <v>17</v>
      </c>
      <c r="D32" s="4">
        <v>1</v>
      </c>
      <c r="E32" s="4">
        <v>1</v>
      </c>
      <c r="F32" s="3">
        <v>0</v>
      </c>
      <c r="G32" s="4">
        <v>0</v>
      </c>
      <c r="H32">
        <f t="shared" si="8"/>
        <v>2</v>
      </c>
      <c r="I32" s="2"/>
      <c r="J32" s="2"/>
      <c r="K32" s="2"/>
      <c r="L32" s="2"/>
      <c r="M32" s="2"/>
      <c r="N32" s="2"/>
    </row>
    <row r="33" spans="1:27" x14ac:dyDescent="0.25">
      <c r="A33" t="e">
        <f>18-(#REF!/4)</f>
        <v>#REF!</v>
      </c>
      <c r="C33">
        <f t="shared" si="7"/>
        <v>17</v>
      </c>
      <c r="D33" s="4">
        <v>1</v>
      </c>
      <c r="E33" s="4">
        <v>1</v>
      </c>
      <c r="F33" s="4">
        <v>1</v>
      </c>
      <c r="G33" s="3">
        <v>0</v>
      </c>
      <c r="H33">
        <f t="shared" si="8"/>
        <v>3</v>
      </c>
      <c r="I33" s="2"/>
      <c r="J33" s="2"/>
      <c r="K33" s="2"/>
      <c r="L33" s="2"/>
      <c r="M33" s="2"/>
      <c r="N33" s="2"/>
    </row>
    <row r="34" spans="1:27" x14ac:dyDescent="0.25">
      <c r="A34" t="e">
        <f>18-(#REF!/4)</f>
        <v>#REF!</v>
      </c>
      <c r="C34">
        <f t="shared" si="7"/>
        <v>16</v>
      </c>
      <c r="D34" s="4">
        <v>1</v>
      </c>
      <c r="E34" s="4">
        <v>1</v>
      </c>
      <c r="F34" s="4">
        <v>1</v>
      </c>
      <c r="G34" s="4">
        <v>1</v>
      </c>
      <c r="H34">
        <f t="shared" si="8"/>
        <v>4</v>
      </c>
      <c r="I34">
        <f>18-2*M34</f>
        <v>18</v>
      </c>
      <c r="J34" s="3">
        <v>0</v>
      </c>
      <c r="K34" s="4">
        <v>0</v>
      </c>
      <c r="L34" s="4">
        <v>0</v>
      </c>
      <c r="M34" s="4">
        <v>0</v>
      </c>
      <c r="N34">
        <f>SUM(J34:M34)</f>
        <v>0</v>
      </c>
      <c r="O34">
        <f>+N34+H34</f>
        <v>4</v>
      </c>
    </row>
    <row r="35" spans="1:27" x14ac:dyDescent="0.25">
      <c r="A35" t="e">
        <f>18-(#REF!/4)</f>
        <v>#REF!</v>
      </c>
      <c r="C35">
        <f t="shared" si="7"/>
        <v>16</v>
      </c>
      <c r="D35" s="4">
        <v>2</v>
      </c>
      <c r="E35" s="4">
        <v>1</v>
      </c>
      <c r="F35" s="4">
        <v>1</v>
      </c>
      <c r="G35" s="4">
        <v>1</v>
      </c>
      <c r="H35">
        <f t="shared" si="8"/>
        <v>5</v>
      </c>
      <c r="I35">
        <f t="shared" ref="I35:I58" si="9">18-2*M35</f>
        <v>18</v>
      </c>
      <c r="J35" s="4">
        <v>1</v>
      </c>
      <c r="K35" s="3">
        <v>0</v>
      </c>
      <c r="L35" s="4">
        <v>0</v>
      </c>
      <c r="M35" s="4">
        <v>0</v>
      </c>
      <c r="N35">
        <f t="shared" ref="N35:N58" si="10">SUM(J35:M35)</f>
        <v>1</v>
      </c>
      <c r="O35">
        <f t="shared" ref="O35:O53" si="11">+N35+H35</f>
        <v>6</v>
      </c>
    </row>
    <row r="36" spans="1:27" ht="15.75" thickBot="1" x14ac:dyDescent="0.3">
      <c r="A36" t="e">
        <f>18-(#REF!/4)</f>
        <v>#REF!</v>
      </c>
      <c r="C36">
        <f t="shared" si="7"/>
        <v>16</v>
      </c>
      <c r="D36" s="4">
        <v>2</v>
      </c>
      <c r="E36" s="4">
        <v>2</v>
      </c>
      <c r="F36" s="4">
        <v>1</v>
      </c>
      <c r="G36" s="4">
        <v>1</v>
      </c>
      <c r="H36">
        <f t="shared" si="8"/>
        <v>6</v>
      </c>
      <c r="I36">
        <f t="shared" si="9"/>
        <v>18</v>
      </c>
      <c r="J36" s="4">
        <v>1</v>
      </c>
      <c r="K36" s="4">
        <v>1</v>
      </c>
      <c r="L36" s="3">
        <v>0</v>
      </c>
      <c r="M36" s="4">
        <v>0</v>
      </c>
      <c r="N36">
        <f t="shared" si="10"/>
        <v>2</v>
      </c>
      <c r="O36">
        <f t="shared" si="11"/>
        <v>8</v>
      </c>
    </row>
    <row r="37" spans="1:27" x14ac:dyDescent="0.25">
      <c r="A37" t="e">
        <f>18-(#REF!/4)</f>
        <v>#REF!</v>
      </c>
      <c r="C37">
        <f t="shared" si="7"/>
        <v>16</v>
      </c>
      <c r="D37" s="4">
        <v>2</v>
      </c>
      <c r="E37" s="4">
        <v>2</v>
      </c>
      <c r="F37" s="4">
        <v>2</v>
      </c>
      <c r="G37" s="4">
        <v>1</v>
      </c>
      <c r="H37">
        <f t="shared" si="8"/>
        <v>7</v>
      </c>
      <c r="I37">
        <f t="shared" si="9"/>
        <v>18</v>
      </c>
      <c r="J37" s="4">
        <v>1</v>
      </c>
      <c r="K37" s="4">
        <v>1</v>
      </c>
      <c r="L37" s="4">
        <v>1</v>
      </c>
      <c r="M37" s="3">
        <v>0</v>
      </c>
      <c r="N37">
        <f t="shared" si="10"/>
        <v>3</v>
      </c>
      <c r="O37">
        <f t="shared" si="11"/>
        <v>10</v>
      </c>
      <c r="R37" s="83" t="s">
        <v>229</v>
      </c>
      <c r="S37" s="84"/>
      <c r="T37" s="84"/>
      <c r="U37" s="84"/>
      <c r="V37" s="84"/>
      <c r="W37" s="84"/>
      <c r="X37" s="84"/>
      <c r="Y37" s="84"/>
      <c r="Z37" s="84"/>
      <c r="AA37" s="85"/>
    </row>
    <row r="38" spans="1:27" x14ac:dyDescent="0.25">
      <c r="A38" t="e">
        <f>18-(#REF!/4)</f>
        <v>#REF!</v>
      </c>
      <c r="C38">
        <f t="shared" si="7"/>
        <v>15</v>
      </c>
      <c r="D38" s="4">
        <v>2</v>
      </c>
      <c r="E38" s="4">
        <v>2</v>
      </c>
      <c r="F38" s="4">
        <v>2</v>
      </c>
      <c r="G38" s="4">
        <v>2</v>
      </c>
      <c r="H38">
        <f t="shared" si="8"/>
        <v>8</v>
      </c>
      <c r="I38">
        <f t="shared" si="9"/>
        <v>16</v>
      </c>
      <c r="J38" s="4">
        <v>1</v>
      </c>
      <c r="K38" s="4">
        <v>1</v>
      </c>
      <c r="L38" s="4">
        <v>1</v>
      </c>
      <c r="M38" s="4">
        <v>1</v>
      </c>
      <c r="N38">
        <f t="shared" si="10"/>
        <v>4</v>
      </c>
      <c r="O38">
        <f t="shared" si="11"/>
        <v>12</v>
      </c>
      <c r="R38" s="86" t="s">
        <v>100</v>
      </c>
      <c r="S38" s="79" t="s">
        <v>224</v>
      </c>
      <c r="T38" s="79" t="s">
        <v>225</v>
      </c>
      <c r="U38" s="35"/>
      <c r="V38" s="35"/>
      <c r="W38" s="35"/>
      <c r="X38" s="35"/>
      <c r="Y38" s="35"/>
      <c r="Z38" s="35"/>
      <c r="AA38" s="87"/>
    </row>
    <row r="39" spans="1:27" x14ac:dyDescent="0.25">
      <c r="A39" t="e">
        <f>18-(#REF!/4)</f>
        <v>#REF!</v>
      </c>
      <c r="C39">
        <f t="shared" si="7"/>
        <v>15</v>
      </c>
      <c r="D39" s="4">
        <v>3</v>
      </c>
      <c r="E39" s="4">
        <v>2</v>
      </c>
      <c r="F39" s="4">
        <v>2</v>
      </c>
      <c r="G39" s="4">
        <v>2</v>
      </c>
      <c r="H39">
        <f t="shared" si="8"/>
        <v>9</v>
      </c>
      <c r="I39">
        <f t="shared" si="9"/>
        <v>16</v>
      </c>
      <c r="J39" s="4">
        <v>2</v>
      </c>
      <c r="K39" s="4">
        <v>1</v>
      </c>
      <c r="L39" s="4">
        <v>1</v>
      </c>
      <c r="M39" s="4">
        <v>1</v>
      </c>
      <c r="N39">
        <f t="shared" si="10"/>
        <v>5</v>
      </c>
      <c r="O39">
        <f t="shared" si="11"/>
        <v>14</v>
      </c>
      <c r="R39" s="88"/>
      <c r="S39" s="35" t="s">
        <v>226</v>
      </c>
      <c r="T39" s="35" t="s">
        <v>102</v>
      </c>
      <c r="U39" s="35"/>
      <c r="V39" s="35"/>
      <c r="W39" s="35"/>
      <c r="X39" s="35"/>
      <c r="Y39" s="35"/>
      <c r="Z39" s="35"/>
      <c r="AA39" s="87"/>
    </row>
    <row r="40" spans="1:27" x14ac:dyDescent="0.25">
      <c r="A40" t="e">
        <f>18-(#REF!/4)</f>
        <v>#REF!</v>
      </c>
      <c r="C40">
        <f t="shared" si="7"/>
        <v>15</v>
      </c>
      <c r="D40" s="4">
        <v>3</v>
      </c>
      <c r="E40" s="4">
        <v>3</v>
      </c>
      <c r="F40" s="4">
        <v>2</v>
      </c>
      <c r="G40" s="4">
        <v>2</v>
      </c>
      <c r="H40">
        <f t="shared" si="8"/>
        <v>10</v>
      </c>
      <c r="I40">
        <f t="shared" si="9"/>
        <v>16</v>
      </c>
      <c r="J40" s="4">
        <v>2</v>
      </c>
      <c r="K40" s="4">
        <v>2</v>
      </c>
      <c r="L40" s="4">
        <v>1</v>
      </c>
      <c r="M40" s="4">
        <v>1</v>
      </c>
      <c r="N40">
        <f t="shared" si="10"/>
        <v>6</v>
      </c>
      <c r="O40">
        <f t="shared" si="11"/>
        <v>16</v>
      </c>
      <c r="R40" s="86">
        <v>1</v>
      </c>
      <c r="S40" s="79">
        <f>L8</f>
        <v>14.5</v>
      </c>
      <c r="T40" s="79">
        <f>O8</f>
        <v>11</v>
      </c>
      <c r="U40" s="35"/>
      <c r="V40" s="35"/>
      <c r="W40" s="35"/>
      <c r="X40" s="35"/>
      <c r="Y40" s="35"/>
      <c r="Z40" s="35"/>
      <c r="AA40" s="87"/>
    </row>
    <row r="41" spans="1:27" x14ac:dyDescent="0.25">
      <c r="A41" t="e">
        <f>18-(#REF!/4)</f>
        <v>#REF!</v>
      </c>
      <c r="C41">
        <f t="shared" si="7"/>
        <v>15</v>
      </c>
      <c r="D41" s="4">
        <v>3</v>
      </c>
      <c r="E41" s="4">
        <v>3</v>
      </c>
      <c r="F41" s="4">
        <v>3</v>
      </c>
      <c r="G41" s="4">
        <v>2</v>
      </c>
      <c r="H41">
        <f t="shared" si="8"/>
        <v>11</v>
      </c>
      <c r="I41">
        <f t="shared" si="9"/>
        <v>16</v>
      </c>
      <c r="J41" s="4">
        <v>2</v>
      </c>
      <c r="K41" s="4">
        <v>2</v>
      </c>
      <c r="L41" s="4">
        <v>2</v>
      </c>
      <c r="M41" s="4">
        <v>1</v>
      </c>
      <c r="N41">
        <f t="shared" si="10"/>
        <v>7</v>
      </c>
      <c r="O41">
        <f t="shared" si="11"/>
        <v>18</v>
      </c>
      <c r="R41" s="89">
        <v>2</v>
      </c>
      <c r="S41" s="80">
        <f>L9</f>
        <v>13.5</v>
      </c>
      <c r="T41" s="80">
        <f>O7</f>
        <v>13</v>
      </c>
      <c r="U41" s="35"/>
      <c r="V41" s="35"/>
      <c r="W41" s="35"/>
      <c r="X41" s="35"/>
      <c r="Y41" s="35"/>
      <c r="Z41" s="35"/>
      <c r="AA41" s="87"/>
    </row>
    <row r="42" spans="1:27" x14ac:dyDescent="0.25">
      <c r="A42" t="e">
        <f>18-(#REF!/4)</f>
        <v>#REF!</v>
      </c>
      <c r="C42">
        <f t="shared" si="7"/>
        <v>14</v>
      </c>
      <c r="D42" s="6">
        <v>3</v>
      </c>
      <c r="E42" s="6">
        <v>3</v>
      </c>
      <c r="F42" s="6">
        <v>3</v>
      </c>
      <c r="G42" s="6">
        <v>3</v>
      </c>
      <c r="H42" s="5">
        <f t="shared" si="8"/>
        <v>12</v>
      </c>
      <c r="I42">
        <f t="shared" si="9"/>
        <v>14</v>
      </c>
      <c r="J42" s="4">
        <v>2</v>
      </c>
      <c r="K42" s="4">
        <v>2</v>
      </c>
      <c r="L42" s="4">
        <v>2</v>
      </c>
      <c r="M42" s="4">
        <v>2</v>
      </c>
      <c r="N42">
        <f t="shared" si="10"/>
        <v>8</v>
      </c>
      <c r="O42">
        <f t="shared" si="11"/>
        <v>20</v>
      </c>
      <c r="R42" s="90">
        <v>3</v>
      </c>
      <c r="S42" s="79">
        <f>L10</f>
        <v>12.5</v>
      </c>
      <c r="T42" s="79">
        <f>O6</f>
        <v>15</v>
      </c>
      <c r="U42" s="35"/>
      <c r="V42" s="35"/>
      <c r="W42" s="35"/>
      <c r="X42" s="35"/>
      <c r="Y42" s="35"/>
      <c r="Z42" s="35"/>
      <c r="AA42" s="87"/>
    </row>
    <row r="43" spans="1:27" x14ac:dyDescent="0.25">
      <c r="A43" t="e">
        <f>18-(#REF!/4)</f>
        <v>#REF!</v>
      </c>
      <c r="C43">
        <f t="shared" si="7"/>
        <v>14</v>
      </c>
      <c r="D43" s="4">
        <v>4</v>
      </c>
      <c r="E43" s="4">
        <v>3</v>
      </c>
      <c r="F43" s="4">
        <v>3</v>
      </c>
      <c r="G43" s="4">
        <v>3</v>
      </c>
      <c r="H43">
        <f t="shared" si="8"/>
        <v>13</v>
      </c>
      <c r="I43">
        <f t="shared" si="9"/>
        <v>14</v>
      </c>
      <c r="J43" s="4">
        <v>3</v>
      </c>
      <c r="K43" s="4">
        <v>2</v>
      </c>
      <c r="L43" s="4">
        <v>2</v>
      </c>
      <c r="M43" s="4">
        <v>2</v>
      </c>
      <c r="N43">
        <f t="shared" si="10"/>
        <v>9</v>
      </c>
      <c r="O43">
        <f t="shared" si="11"/>
        <v>22</v>
      </c>
      <c r="R43" s="86">
        <v>4</v>
      </c>
      <c r="S43" s="79">
        <f>L11</f>
        <v>11.5</v>
      </c>
      <c r="T43" s="79">
        <f>O5</f>
        <v>17</v>
      </c>
      <c r="U43" s="35"/>
      <c r="V43" s="35"/>
      <c r="W43" s="35"/>
      <c r="X43" s="35"/>
      <c r="Y43" s="35"/>
      <c r="Z43" s="35"/>
      <c r="AA43" s="87"/>
    </row>
    <row r="44" spans="1:27" x14ac:dyDescent="0.25">
      <c r="A44" t="e">
        <f>18-(#REF!/4)</f>
        <v>#REF!</v>
      </c>
      <c r="C44">
        <f t="shared" si="7"/>
        <v>14</v>
      </c>
      <c r="D44" s="4">
        <v>4</v>
      </c>
      <c r="E44" s="4">
        <v>4</v>
      </c>
      <c r="F44" s="4">
        <v>3</v>
      </c>
      <c r="G44" s="4">
        <v>3</v>
      </c>
      <c r="H44">
        <f t="shared" si="8"/>
        <v>14</v>
      </c>
      <c r="I44">
        <f t="shared" si="9"/>
        <v>14</v>
      </c>
      <c r="J44" s="4">
        <v>3</v>
      </c>
      <c r="K44" s="4">
        <v>3</v>
      </c>
      <c r="L44" s="4">
        <v>2</v>
      </c>
      <c r="M44" s="4">
        <v>2</v>
      </c>
      <c r="N44">
        <f t="shared" si="10"/>
        <v>10</v>
      </c>
      <c r="O44">
        <f t="shared" si="11"/>
        <v>24</v>
      </c>
      <c r="R44" s="86">
        <v>5</v>
      </c>
      <c r="S44" s="35"/>
      <c r="T44" s="35"/>
      <c r="U44" s="35"/>
      <c r="V44" s="35"/>
      <c r="W44" s="35"/>
      <c r="X44" s="35"/>
      <c r="Y44" s="35"/>
      <c r="Z44" s="35"/>
      <c r="AA44" s="87"/>
    </row>
    <row r="45" spans="1:27" x14ac:dyDescent="0.25">
      <c r="A45" t="e">
        <f>18-(#REF!/4)</f>
        <v>#REF!</v>
      </c>
      <c r="C45">
        <f t="shared" si="7"/>
        <v>14</v>
      </c>
      <c r="D45" s="4">
        <v>4</v>
      </c>
      <c r="E45" s="4">
        <v>4</v>
      </c>
      <c r="F45" s="4">
        <v>4</v>
      </c>
      <c r="G45" s="4">
        <v>3</v>
      </c>
      <c r="H45">
        <f t="shared" si="8"/>
        <v>15</v>
      </c>
      <c r="I45">
        <f t="shared" si="9"/>
        <v>14</v>
      </c>
      <c r="J45" s="4">
        <v>3</v>
      </c>
      <c r="K45" s="4">
        <v>3</v>
      </c>
      <c r="L45" s="4">
        <v>3</v>
      </c>
      <c r="M45" s="4">
        <v>2</v>
      </c>
      <c r="N45">
        <f t="shared" si="10"/>
        <v>11</v>
      </c>
      <c r="O45">
        <f t="shared" si="11"/>
        <v>26</v>
      </c>
      <c r="R45" s="86">
        <v>6</v>
      </c>
      <c r="S45" s="35"/>
      <c r="T45" s="35"/>
      <c r="U45" s="35"/>
      <c r="V45" s="35"/>
      <c r="W45" s="35"/>
      <c r="X45" s="35"/>
      <c r="Y45" s="35"/>
      <c r="Z45" s="35"/>
      <c r="AA45" s="87"/>
    </row>
    <row r="46" spans="1:27" x14ac:dyDescent="0.25">
      <c r="A46" t="e">
        <f>18-(#REF!/4)</f>
        <v>#REF!</v>
      </c>
      <c r="C46" s="9">
        <f t="shared" si="7"/>
        <v>13</v>
      </c>
      <c r="D46" s="10">
        <v>4</v>
      </c>
      <c r="E46" s="10">
        <v>4</v>
      </c>
      <c r="F46" s="10">
        <v>4</v>
      </c>
      <c r="G46" s="10">
        <v>4</v>
      </c>
      <c r="H46" s="11">
        <f t="shared" si="8"/>
        <v>16</v>
      </c>
      <c r="I46" s="8">
        <f t="shared" si="9"/>
        <v>12</v>
      </c>
      <c r="J46" s="12">
        <v>3</v>
      </c>
      <c r="K46" s="12">
        <v>3</v>
      </c>
      <c r="L46" s="12">
        <v>3</v>
      </c>
      <c r="M46" s="12">
        <v>3</v>
      </c>
      <c r="N46" s="13">
        <f t="shared" si="10"/>
        <v>12</v>
      </c>
      <c r="O46" s="8">
        <f t="shared" si="11"/>
        <v>28</v>
      </c>
      <c r="R46" s="86">
        <v>7</v>
      </c>
      <c r="S46" s="35"/>
      <c r="T46" s="35"/>
      <c r="U46" s="35"/>
      <c r="V46" s="35"/>
      <c r="W46" s="35"/>
      <c r="X46" s="35"/>
      <c r="Y46" s="35"/>
      <c r="Z46" s="35"/>
      <c r="AA46" s="87"/>
    </row>
    <row r="47" spans="1:27" x14ac:dyDescent="0.25">
      <c r="A47" t="e">
        <f>18-(#REF!/4)</f>
        <v>#REF!</v>
      </c>
      <c r="C47" s="1">
        <f t="shared" si="7"/>
        <v>13</v>
      </c>
      <c r="D47" s="4">
        <v>5</v>
      </c>
      <c r="E47" s="4">
        <v>4</v>
      </c>
      <c r="F47" s="4">
        <v>4</v>
      </c>
      <c r="G47" s="4">
        <v>4</v>
      </c>
      <c r="H47">
        <f t="shared" si="8"/>
        <v>17</v>
      </c>
      <c r="I47">
        <f t="shared" si="9"/>
        <v>12</v>
      </c>
      <c r="J47" s="4">
        <v>4</v>
      </c>
      <c r="K47" s="4">
        <v>3</v>
      </c>
      <c r="L47" s="4">
        <v>3</v>
      </c>
      <c r="M47" s="4">
        <v>3</v>
      </c>
      <c r="N47">
        <f t="shared" si="10"/>
        <v>13</v>
      </c>
      <c r="O47">
        <f t="shared" si="11"/>
        <v>30</v>
      </c>
      <c r="R47" s="88" t="s">
        <v>240</v>
      </c>
      <c r="S47" s="35"/>
      <c r="T47" s="35"/>
      <c r="U47" s="35"/>
      <c r="V47" s="35"/>
      <c r="W47" s="35"/>
      <c r="X47" s="35"/>
      <c r="Y47" s="35"/>
      <c r="Z47" s="35"/>
      <c r="AA47" s="87"/>
    </row>
    <row r="48" spans="1:27" x14ac:dyDescent="0.25">
      <c r="A48" t="e">
        <f>18-(#REF!/4)</f>
        <v>#REF!</v>
      </c>
      <c r="C48" s="1">
        <f t="shared" si="7"/>
        <v>13</v>
      </c>
      <c r="D48" s="4">
        <v>5</v>
      </c>
      <c r="E48" s="4">
        <v>5</v>
      </c>
      <c r="F48" s="4">
        <v>4</v>
      </c>
      <c r="G48" s="4">
        <v>4</v>
      </c>
      <c r="H48">
        <f t="shared" si="8"/>
        <v>18</v>
      </c>
      <c r="I48">
        <f t="shared" si="9"/>
        <v>12</v>
      </c>
      <c r="J48" s="4">
        <v>4</v>
      </c>
      <c r="K48" s="4">
        <v>4</v>
      </c>
      <c r="L48" s="4">
        <v>3</v>
      </c>
      <c r="M48" s="4">
        <v>3</v>
      </c>
      <c r="N48">
        <f t="shared" si="10"/>
        <v>14</v>
      </c>
      <c r="O48">
        <f t="shared" si="11"/>
        <v>32</v>
      </c>
      <c r="R48" s="88" t="s">
        <v>228</v>
      </c>
      <c r="S48" s="35"/>
      <c r="T48" s="35"/>
      <c r="U48" s="35"/>
      <c r="V48" s="35"/>
      <c r="W48" s="35"/>
      <c r="X48" s="35"/>
      <c r="Y48" s="35"/>
      <c r="Z48" s="35"/>
      <c r="AA48" s="87"/>
    </row>
    <row r="49" spans="1:27" x14ac:dyDescent="0.25">
      <c r="A49" t="e">
        <f>18-(#REF!/4)</f>
        <v>#REF!</v>
      </c>
      <c r="C49" s="1">
        <f t="shared" si="7"/>
        <v>13</v>
      </c>
      <c r="D49" s="4">
        <v>5</v>
      </c>
      <c r="E49" s="4">
        <v>5</v>
      </c>
      <c r="F49" s="4">
        <v>5</v>
      </c>
      <c r="G49" s="4">
        <v>4</v>
      </c>
      <c r="H49">
        <f t="shared" si="8"/>
        <v>19</v>
      </c>
      <c r="I49">
        <f t="shared" si="9"/>
        <v>12</v>
      </c>
      <c r="J49" s="4">
        <v>4</v>
      </c>
      <c r="K49" s="4">
        <v>4</v>
      </c>
      <c r="L49" s="4">
        <v>4</v>
      </c>
      <c r="M49" s="4">
        <v>3</v>
      </c>
      <c r="N49">
        <f t="shared" si="10"/>
        <v>15</v>
      </c>
      <c r="O49">
        <f t="shared" si="11"/>
        <v>34</v>
      </c>
      <c r="R49" s="88"/>
      <c r="S49" s="35"/>
      <c r="T49" s="35"/>
      <c r="U49" s="35"/>
      <c r="V49" s="35"/>
      <c r="W49" s="35"/>
      <c r="X49" s="35"/>
      <c r="Y49" s="35"/>
      <c r="Z49" s="35"/>
      <c r="AA49" s="87"/>
    </row>
    <row r="50" spans="1:27" x14ac:dyDescent="0.25">
      <c r="A50" s="1" t="e">
        <f>18-(#REF!/4)</f>
        <v>#REF!</v>
      </c>
      <c r="B50" s="1"/>
      <c r="C50">
        <f t="shared" si="7"/>
        <v>12</v>
      </c>
      <c r="D50" s="4">
        <v>5</v>
      </c>
      <c r="E50" s="4">
        <v>5</v>
      </c>
      <c r="F50" s="4">
        <v>5</v>
      </c>
      <c r="G50" s="4">
        <v>5</v>
      </c>
      <c r="H50">
        <f t="shared" si="8"/>
        <v>20</v>
      </c>
      <c r="I50" s="5">
        <f t="shared" si="9"/>
        <v>10</v>
      </c>
      <c r="J50" s="6">
        <v>4</v>
      </c>
      <c r="K50" s="6">
        <v>4</v>
      </c>
      <c r="L50" s="6">
        <v>4</v>
      </c>
      <c r="M50" s="6">
        <v>4</v>
      </c>
      <c r="N50" s="5">
        <f t="shared" si="10"/>
        <v>16</v>
      </c>
      <c r="O50">
        <f t="shared" si="11"/>
        <v>36</v>
      </c>
      <c r="R50" s="88"/>
      <c r="S50" s="35"/>
      <c r="T50" s="35"/>
      <c r="U50" s="35"/>
      <c r="V50" s="35"/>
      <c r="W50" s="35"/>
      <c r="X50" s="35"/>
      <c r="Y50" s="35"/>
      <c r="Z50" s="35"/>
      <c r="AA50" s="87"/>
    </row>
    <row r="51" spans="1:27" x14ac:dyDescent="0.25">
      <c r="A51" t="e">
        <f>18-(#REF!/4)</f>
        <v>#REF!</v>
      </c>
      <c r="C51">
        <f t="shared" si="7"/>
        <v>12</v>
      </c>
      <c r="D51" s="4">
        <v>6</v>
      </c>
      <c r="E51" s="4">
        <v>5</v>
      </c>
      <c r="F51" s="4">
        <v>5</v>
      </c>
      <c r="G51" s="4">
        <v>5</v>
      </c>
      <c r="H51">
        <f t="shared" si="8"/>
        <v>21</v>
      </c>
      <c r="I51">
        <f t="shared" si="9"/>
        <v>10</v>
      </c>
      <c r="J51" s="4">
        <v>5</v>
      </c>
      <c r="K51" s="4">
        <v>4</v>
      </c>
      <c r="L51" s="4">
        <v>4</v>
      </c>
      <c r="M51" s="4">
        <v>4</v>
      </c>
      <c r="N51">
        <f t="shared" si="10"/>
        <v>17</v>
      </c>
      <c r="O51">
        <f t="shared" si="11"/>
        <v>38</v>
      </c>
      <c r="R51" s="88" t="s">
        <v>230</v>
      </c>
      <c r="S51" s="35"/>
      <c r="T51" s="35"/>
      <c r="U51" s="35"/>
      <c r="V51" s="35"/>
      <c r="W51" s="35"/>
      <c r="X51" s="35"/>
      <c r="Y51" s="35"/>
      <c r="Z51" s="35"/>
      <c r="AA51" s="87"/>
    </row>
    <row r="52" spans="1:27" x14ac:dyDescent="0.25">
      <c r="A52" t="e">
        <f>18-(#REF!/4)</f>
        <v>#REF!</v>
      </c>
      <c r="C52">
        <f t="shared" si="7"/>
        <v>12</v>
      </c>
      <c r="D52" s="4">
        <v>6</v>
      </c>
      <c r="E52" s="4">
        <v>6</v>
      </c>
      <c r="F52" s="4">
        <v>5</v>
      </c>
      <c r="G52" s="4">
        <v>5</v>
      </c>
      <c r="H52">
        <f t="shared" si="8"/>
        <v>22</v>
      </c>
      <c r="I52">
        <f t="shared" si="9"/>
        <v>10</v>
      </c>
      <c r="J52" s="4">
        <v>5</v>
      </c>
      <c r="K52" s="4">
        <v>5</v>
      </c>
      <c r="L52" s="4">
        <v>4</v>
      </c>
      <c r="M52" s="4">
        <v>4</v>
      </c>
      <c r="N52">
        <f t="shared" si="10"/>
        <v>18</v>
      </c>
      <c r="O52">
        <f t="shared" si="11"/>
        <v>40</v>
      </c>
      <c r="R52" s="88"/>
      <c r="S52" s="79" t="s">
        <v>224</v>
      </c>
      <c r="T52" s="79" t="s">
        <v>225</v>
      </c>
      <c r="U52" s="35"/>
      <c r="V52" s="35"/>
      <c r="W52" s="35"/>
      <c r="X52" s="35"/>
      <c r="Y52" s="35"/>
      <c r="Z52" s="35"/>
      <c r="AA52" s="87"/>
    </row>
    <row r="53" spans="1:27" x14ac:dyDescent="0.25">
      <c r="A53" t="e">
        <f>18-(#REF!/4)</f>
        <v>#REF!</v>
      </c>
      <c r="C53">
        <f t="shared" si="7"/>
        <v>12</v>
      </c>
      <c r="D53" s="4">
        <v>6</v>
      </c>
      <c r="E53" s="4">
        <v>6</v>
      </c>
      <c r="F53" s="4">
        <v>6</v>
      </c>
      <c r="G53" s="4">
        <v>5</v>
      </c>
      <c r="H53">
        <f t="shared" si="8"/>
        <v>23</v>
      </c>
      <c r="I53">
        <f t="shared" si="9"/>
        <v>10</v>
      </c>
      <c r="J53" s="4">
        <v>5</v>
      </c>
      <c r="K53" s="4">
        <v>5</v>
      </c>
      <c r="L53" s="4">
        <v>5</v>
      </c>
      <c r="M53" s="4">
        <v>4</v>
      </c>
      <c r="N53">
        <f t="shared" si="10"/>
        <v>19</v>
      </c>
      <c r="O53">
        <f t="shared" si="11"/>
        <v>42</v>
      </c>
      <c r="R53" s="86" t="s">
        <v>100</v>
      </c>
      <c r="S53" s="79" t="s">
        <v>226</v>
      </c>
      <c r="T53" s="79" t="s">
        <v>102</v>
      </c>
      <c r="U53" s="35"/>
      <c r="V53" s="35"/>
      <c r="W53" s="35"/>
      <c r="X53" s="35"/>
      <c r="Y53" s="35"/>
      <c r="Z53" s="35"/>
      <c r="AA53" s="87"/>
    </row>
    <row r="54" spans="1:27" x14ac:dyDescent="0.25">
      <c r="A54" s="1" t="e">
        <f>18-(#REF!/4)</f>
        <v>#REF!</v>
      </c>
      <c r="B54" s="1"/>
      <c r="C54">
        <f t="shared" si="7"/>
        <v>11</v>
      </c>
      <c r="D54" s="4">
        <v>6</v>
      </c>
      <c r="E54" s="4">
        <v>6</v>
      </c>
      <c r="F54" s="4">
        <v>6</v>
      </c>
      <c r="G54" s="4">
        <v>6</v>
      </c>
      <c r="H54">
        <f t="shared" si="8"/>
        <v>24</v>
      </c>
      <c r="I54">
        <f t="shared" si="9"/>
        <v>8</v>
      </c>
      <c r="J54" s="4">
        <v>5</v>
      </c>
      <c r="K54" s="4">
        <v>5</v>
      </c>
      <c r="L54" s="4">
        <v>5</v>
      </c>
      <c r="M54" s="4">
        <v>5</v>
      </c>
      <c r="N54">
        <f t="shared" si="10"/>
        <v>20</v>
      </c>
      <c r="R54" s="86">
        <v>1</v>
      </c>
      <c r="S54" s="79">
        <f>L7</f>
        <v>15.5</v>
      </c>
      <c r="T54" s="76">
        <f>O9</f>
        <v>9</v>
      </c>
      <c r="U54" s="35"/>
      <c r="V54" s="35"/>
      <c r="W54" s="35"/>
      <c r="X54" s="35"/>
      <c r="Y54" s="35"/>
      <c r="Z54" s="35"/>
      <c r="AA54" s="87"/>
    </row>
    <row r="55" spans="1:27" x14ac:dyDescent="0.25">
      <c r="A55" t="e">
        <f>18-(#REF!/4)</f>
        <v>#REF!</v>
      </c>
      <c r="I55">
        <f t="shared" si="9"/>
        <v>8</v>
      </c>
      <c r="J55" s="4">
        <v>6</v>
      </c>
      <c r="K55" s="4">
        <v>5</v>
      </c>
      <c r="L55" s="4">
        <v>5</v>
      </c>
      <c r="M55" s="4">
        <v>5</v>
      </c>
      <c r="N55">
        <f t="shared" si="10"/>
        <v>21</v>
      </c>
      <c r="R55" s="91">
        <v>2</v>
      </c>
      <c r="S55" s="81">
        <f t="shared" ref="S55:S60" si="12">L8</f>
        <v>14.5</v>
      </c>
      <c r="T55" s="82">
        <f>O8</f>
        <v>11</v>
      </c>
      <c r="U55" s="35"/>
      <c r="V55" s="35"/>
      <c r="W55" s="35"/>
      <c r="X55" s="35"/>
      <c r="Y55" s="35"/>
      <c r="Z55" s="35"/>
      <c r="AA55" s="87"/>
    </row>
    <row r="56" spans="1:27" x14ac:dyDescent="0.25">
      <c r="A56" t="e">
        <f>18-(#REF!/4)</f>
        <v>#REF!</v>
      </c>
      <c r="I56">
        <f t="shared" si="9"/>
        <v>8</v>
      </c>
      <c r="J56" s="4">
        <v>6</v>
      </c>
      <c r="K56" s="4">
        <v>6</v>
      </c>
      <c r="L56" s="4">
        <v>5</v>
      </c>
      <c r="M56" s="4">
        <v>5</v>
      </c>
      <c r="N56">
        <f t="shared" si="10"/>
        <v>22</v>
      </c>
      <c r="R56" s="90">
        <v>3</v>
      </c>
      <c r="S56" s="79">
        <f t="shared" si="12"/>
        <v>13.5</v>
      </c>
      <c r="T56" s="76">
        <f>O7</f>
        <v>13</v>
      </c>
      <c r="U56" s="35"/>
      <c r="V56" s="35"/>
      <c r="W56" s="35"/>
      <c r="X56" s="35"/>
      <c r="Y56" s="35"/>
      <c r="Z56" s="35"/>
      <c r="AA56" s="87"/>
    </row>
    <row r="57" spans="1:27" x14ac:dyDescent="0.25">
      <c r="A57" t="e">
        <f>18-(#REF!/4)</f>
        <v>#REF!</v>
      </c>
      <c r="I57">
        <f t="shared" si="9"/>
        <v>8</v>
      </c>
      <c r="J57" s="4">
        <v>6</v>
      </c>
      <c r="K57" s="4">
        <v>6</v>
      </c>
      <c r="L57" s="4">
        <v>6</v>
      </c>
      <c r="M57" s="4">
        <v>5</v>
      </c>
      <c r="N57">
        <f t="shared" si="10"/>
        <v>23</v>
      </c>
      <c r="R57" s="86">
        <v>4</v>
      </c>
      <c r="S57" s="79">
        <f t="shared" si="12"/>
        <v>12.5</v>
      </c>
      <c r="T57" s="76">
        <f>O6</f>
        <v>15</v>
      </c>
      <c r="U57" s="35"/>
      <c r="V57" s="35"/>
      <c r="W57" s="35"/>
      <c r="X57" s="35"/>
      <c r="Y57" s="35"/>
      <c r="Z57" s="35"/>
      <c r="AA57" s="87"/>
    </row>
    <row r="58" spans="1:27" x14ac:dyDescent="0.25">
      <c r="A58" t="e">
        <f>18-(#REF!/4)</f>
        <v>#REF!</v>
      </c>
      <c r="I58">
        <f t="shared" si="9"/>
        <v>6</v>
      </c>
      <c r="J58" s="4">
        <v>6</v>
      </c>
      <c r="K58" s="4">
        <v>6</v>
      </c>
      <c r="L58" s="4">
        <v>6</v>
      </c>
      <c r="M58" s="4">
        <v>6</v>
      </c>
      <c r="N58">
        <f t="shared" si="10"/>
        <v>24</v>
      </c>
      <c r="R58" s="86">
        <v>5</v>
      </c>
      <c r="S58" s="79">
        <f t="shared" si="12"/>
        <v>11.5</v>
      </c>
      <c r="T58" s="76">
        <f>O5</f>
        <v>17</v>
      </c>
      <c r="U58" s="35"/>
      <c r="V58" s="35"/>
      <c r="W58" s="35"/>
      <c r="X58" s="35"/>
      <c r="Y58" s="35"/>
      <c r="Z58" s="35"/>
      <c r="AA58" s="87"/>
    </row>
    <row r="59" spans="1:27" x14ac:dyDescent="0.25">
      <c r="R59" s="86">
        <v>6</v>
      </c>
      <c r="S59" s="79">
        <f t="shared" si="12"/>
        <v>10.5</v>
      </c>
      <c r="T59" s="76"/>
      <c r="U59" s="35"/>
      <c r="V59" s="35"/>
      <c r="W59" s="35"/>
      <c r="X59" s="35"/>
      <c r="Y59" s="35"/>
      <c r="Z59" s="35"/>
      <c r="AA59" s="87"/>
    </row>
    <row r="60" spans="1:27" x14ac:dyDescent="0.25">
      <c r="A60" t="s">
        <v>235</v>
      </c>
      <c r="R60" s="86">
        <v>7</v>
      </c>
      <c r="S60" s="79">
        <f t="shared" si="12"/>
        <v>9.5</v>
      </c>
      <c r="T60" s="35"/>
      <c r="U60" s="35"/>
      <c r="V60" s="35"/>
      <c r="W60" s="35"/>
      <c r="X60" s="35"/>
      <c r="Y60" s="35"/>
      <c r="Z60" s="35"/>
      <c r="AA60" s="87"/>
    </row>
    <row r="61" spans="1:27" x14ac:dyDescent="0.25">
      <c r="A61" t="s">
        <v>236</v>
      </c>
      <c r="R61" s="88" t="s">
        <v>227</v>
      </c>
      <c r="S61" s="35"/>
      <c r="T61" s="35"/>
      <c r="U61" s="35"/>
      <c r="V61" s="35"/>
      <c r="W61" s="35"/>
      <c r="X61" s="35"/>
      <c r="Y61" s="35"/>
      <c r="Z61" s="35"/>
      <c r="AA61" s="87"/>
    </row>
    <row r="62" spans="1:27" ht="15.75" thickBot="1" x14ac:dyDescent="0.3">
      <c r="F62" s="151" t="s">
        <v>256</v>
      </c>
      <c r="G62" s="151"/>
      <c r="H62" s="151"/>
      <c r="I62" s="151"/>
      <c r="J62" s="151"/>
      <c r="K62" s="151"/>
      <c r="L62" s="151"/>
      <c r="R62" s="88" t="s">
        <v>228</v>
      </c>
      <c r="S62" s="35"/>
      <c r="T62" s="35"/>
      <c r="U62" s="35"/>
      <c r="V62" s="35"/>
      <c r="W62" s="35"/>
      <c r="X62" s="35"/>
      <c r="Y62" s="35"/>
      <c r="Z62" s="35"/>
      <c r="AA62" s="87"/>
    </row>
    <row r="63" spans="1:27" ht="15.75" thickBot="1" x14ac:dyDescent="0.3">
      <c r="A63" s="128"/>
      <c r="B63" s="147" t="s">
        <v>37</v>
      </c>
      <c r="C63" s="148"/>
      <c r="D63" s="147" t="s">
        <v>38</v>
      </c>
      <c r="E63" s="155"/>
      <c r="G63" s="137" t="s">
        <v>37</v>
      </c>
      <c r="H63" s="137" t="s">
        <v>38</v>
      </c>
      <c r="J63" s="83" t="s">
        <v>229</v>
      </c>
      <c r="K63" s="84"/>
      <c r="L63" s="84"/>
      <c r="R63" s="88"/>
      <c r="S63" s="35"/>
      <c r="T63" s="35"/>
      <c r="U63" s="35"/>
      <c r="V63" s="35"/>
      <c r="W63" s="35"/>
      <c r="X63" s="35"/>
      <c r="Y63" s="35"/>
      <c r="Z63" s="35"/>
      <c r="AA63" s="87"/>
    </row>
    <row r="64" spans="1:27" x14ac:dyDescent="0.25">
      <c r="A64" s="116" t="s">
        <v>21</v>
      </c>
      <c r="B64" s="126" t="s">
        <v>18</v>
      </c>
      <c r="C64" s="126" t="s">
        <v>20</v>
      </c>
      <c r="D64" s="126" t="s">
        <v>18</v>
      </c>
      <c r="E64" s="127" t="s">
        <v>20</v>
      </c>
      <c r="G64" s="149" t="s">
        <v>237</v>
      </c>
      <c r="H64" s="150"/>
      <c r="J64" s="86" t="s">
        <v>100</v>
      </c>
      <c r="K64" s="76" t="s">
        <v>224</v>
      </c>
      <c r="L64" s="76" t="s">
        <v>225</v>
      </c>
      <c r="R64" s="88"/>
      <c r="S64" s="35"/>
      <c r="T64" s="35"/>
      <c r="U64" s="35"/>
      <c r="V64" s="35"/>
      <c r="W64" s="35"/>
      <c r="X64" s="35"/>
      <c r="AA64" s="87"/>
    </row>
    <row r="65" spans="1:27" x14ac:dyDescent="0.25">
      <c r="A65" s="118" t="s">
        <v>19</v>
      </c>
      <c r="B65" s="119" t="s">
        <v>22</v>
      </c>
      <c r="C65" s="117" t="s">
        <v>23</v>
      </c>
      <c r="D65" s="119" t="s">
        <v>40</v>
      </c>
      <c r="E65" s="129" t="s">
        <v>39</v>
      </c>
      <c r="F65" s="118" t="s">
        <v>19</v>
      </c>
      <c r="G65" s="130" t="s">
        <v>239</v>
      </c>
      <c r="H65" s="130" t="s">
        <v>238</v>
      </c>
      <c r="J65" s="88"/>
      <c r="K65" s="95" t="s">
        <v>226</v>
      </c>
      <c r="L65" s="95" t="s">
        <v>102</v>
      </c>
      <c r="R65" s="88"/>
      <c r="S65" s="35"/>
      <c r="T65" s="35"/>
      <c r="U65" s="35"/>
      <c r="V65" s="35"/>
      <c r="W65" s="35"/>
      <c r="X65" s="35"/>
      <c r="AA65" s="87"/>
    </row>
    <row r="66" spans="1:27" x14ac:dyDescent="0.25">
      <c r="A66" s="120">
        <v>0</v>
      </c>
      <c r="B66" s="121">
        <f>18*A66-POWER(A66,2)/2</f>
        <v>0</v>
      </c>
      <c r="C66" s="121">
        <f>18-A66</f>
        <v>18</v>
      </c>
      <c r="D66" s="121">
        <f t="shared" ref="D66:D86" si="13">18*A66-POWER(A66,2)</f>
        <v>0</v>
      </c>
      <c r="E66" s="121">
        <f t="shared" ref="E66:E86" si="14">18-2*A66</f>
        <v>18</v>
      </c>
      <c r="F66" s="120">
        <v>0</v>
      </c>
      <c r="G66" s="131">
        <f t="shared" ref="G66:G75" si="15">C67</f>
        <v>17</v>
      </c>
      <c r="H66" s="131"/>
      <c r="J66" s="135">
        <v>1</v>
      </c>
      <c r="K66" s="136">
        <f>G70</f>
        <v>13</v>
      </c>
      <c r="L66" s="136">
        <f>H70</f>
        <v>12</v>
      </c>
      <c r="R66" s="88"/>
      <c r="S66" s="35"/>
      <c r="T66" s="35"/>
      <c r="U66" s="35"/>
      <c r="V66" s="35"/>
      <c r="W66" s="35"/>
      <c r="X66" s="35"/>
      <c r="AA66" s="87"/>
    </row>
    <row r="67" spans="1:27" x14ac:dyDescent="0.25">
      <c r="A67" s="122">
        <v>1</v>
      </c>
      <c r="B67" s="121">
        <f>18*A67-POWER(A67,2)/2</f>
        <v>17.5</v>
      </c>
      <c r="C67" s="121">
        <f t="shared" ref="C67:C86" si="16">18-A67</f>
        <v>17</v>
      </c>
      <c r="D67" s="121">
        <f t="shared" si="13"/>
        <v>17</v>
      </c>
      <c r="E67" s="121">
        <f t="shared" si="14"/>
        <v>16</v>
      </c>
      <c r="F67" s="122">
        <v>1</v>
      </c>
      <c r="G67" s="131">
        <f t="shared" si="15"/>
        <v>16</v>
      </c>
      <c r="H67" s="131">
        <f>E66</f>
        <v>18</v>
      </c>
      <c r="J67" s="91">
        <v>2</v>
      </c>
      <c r="K67" s="79">
        <f t="shared" ref="K67:K69" si="17">G71</f>
        <v>12</v>
      </c>
      <c r="L67" s="81">
        <f>H69</f>
        <v>14</v>
      </c>
      <c r="R67" s="88"/>
      <c r="S67" s="35"/>
      <c r="T67" s="35"/>
      <c r="U67" s="35"/>
      <c r="V67" s="35"/>
      <c r="W67" s="35"/>
      <c r="X67" s="35"/>
      <c r="AA67" s="87"/>
    </row>
    <row r="68" spans="1:27" x14ac:dyDescent="0.25">
      <c r="A68" s="122">
        <v>2</v>
      </c>
      <c r="B68" s="121">
        <f t="shared" ref="B68:B86" si="18">18*A68-POWER(A68,2)/2</f>
        <v>34</v>
      </c>
      <c r="C68" s="121">
        <f t="shared" si="16"/>
        <v>16</v>
      </c>
      <c r="D68" s="121">
        <f t="shared" si="13"/>
        <v>32</v>
      </c>
      <c r="E68" s="121">
        <f t="shared" si="14"/>
        <v>14</v>
      </c>
      <c r="F68" s="122">
        <v>2</v>
      </c>
      <c r="G68" s="131">
        <f t="shared" si="15"/>
        <v>15</v>
      </c>
      <c r="H68" s="131">
        <f t="shared" ref="H68:H76" si="19">E67</f>
        <v>16</v>
      </c>
      <c r="J68" s="90">
        <v>3</v>
      </c>
      <c r="K68" s="79">
        <f t="shared" si="17"/>
        <v>11</v>
      </c>
      <c r="L68" s="79">
        <f>H68</f>
        <v>16</v>
      </c>
      <c r="R68" s="88" t="s">
        <v>231</v>
      </c>
      <c r="S68" s="35"/>
      <c r="T68" s="35"/>
      <c r="U68" s="35"/>
      <c r="V68" s="35"/>
      <c r="W68" s="35"/>
      <c r="X68" s="35"/>
      <c r="AA68" s="87"/>
    </row>
    <row r="69" spans="1:27" x14ac:dyDescent="0.25">
      <c r="A69" s="122">
        <v>3</v>
      </c>
      <c r="B69" s="121">
        <f t="shared" si="18"/>
        <v>49.5</v>
      </c>
      <c r="C69" s="77">
        <f t="shared" si="16"/>
        <v>15</v>
      </c>
      <c r="D69" s="123">
        <f t="shared" si="13"/>
        <v>45</v>
      </c>
      <c r="E69" s="132">
        <f t="shared" si="14"/>
        <v>12</v>
      </c>
      <c r="F69" s="133">
        <v>3</v>
      </c>
      <c r="G69" s="131">
        <f t="shared" si="15"/>
        <v>14</v>
      </c>
      <c r="H69" s="131">
        <f t="shared" si="19"/>
        <v>14</v>
      </c>
      <c r="J69" s="86">
        <v>4</v>
      </c>
      <c r="K69" s="79">
        <f t="shared" si="17"/>
        <v>10</v>
      </c>
      <c r="L69" s="79">
        <f>H67</f>
        <v>18</v>
      </c>
      <c r="R69" s="88" t="s">
        <v>232</v>
      </c>
      <c r="S69" s="35"/>
      <c r="T69" s="35"/>
      <c r="U69" s="35"/>
      <c r="V69" s="35"/>
      <c r="W69" s="35"/>
      <c r="X69" s="35"/>
      <c r="AA69" s="87"/>
    </row>
    <row r="70" spans="1:27" x14ac:dyDescent="0.25">
      <c r="A70" s="122">
        <v>4</v>
      </c>
      <c r="B70" s="121">
        <f t="shared" si="18"/>
        <v>64</v>
      </c>
      <c r="C70" s="121">
        <f t="shared" si="16"/>
        <v>14</v>
      </c>
      <c r="D70" s="123">
        <f t="shared" si="13"/>
        <v>56</v>
      </c>
      <c r="E70" s="77">
        <f t="shared" si="14"/>
        <v>10</v>
      </c>
      <c r="F70" s="133">
        <v>4</v>
      </c>
      <c r="G70" s="134">
        <f t="shared" si="15"/>
        <v>13</v>
      </c>
      <c r="H70" s="134">
        <f t="shared" si="19"/>
        <v>12</v>
      </c>
      <c r="J70" s="86">
        <v>5</v>
      </c>
      <c r="K70" s="35"/>
      <c r="L70" s="35"/>
      <c r="R70" s="88" t="s">
        <v>233</v>
      </c>
      <c r="S70" s="35"/>
      <c r="T70" s="35"/>
      <c r="U70" s="35"/>
      <c r="V70" s="35"/>
      <c r="W70" s="35"/>
      <c r="X70" s="35"/>
      <c r="AA70" s="87"/>
    </row>
    <row r="71" spans="1:27" ht="15.75" thickBot="1" x14ac:dyDescent="0.3">
      <c r="A71" s="122">
        <v>5</v>
      </c>
      <c r="B71" s="121">
        <f t="shared" si="18"/>
        <v>77.5</v>
      </c>
      <c r="C71" s="132">
        <f t="shared" si="16"/>
        <v>13</v>
      </c>
      <c r="D71" s="123">
        <f t="shared" si="13"/>
        <v>65</v>
      </c>
      <c r="E71" s="121">
        <f t="shared" si="14"/>
        <v>8</v>
      </c>
      <c r="F71" s="122">
        <v>5</v>
      </c>
      <c r="G71" s="131">
        <f t="shared" si="15"/>
        <v>12</v>
      </c>
      <c r="H71" s="131">
        <f t="shared" si="19"/>
        <v>10</v>
      </c>
      <c r="J71" s="86">
        <v>6</v>
      </c>
      <c r="K71" s="35"/>
      <c r="L71" s="35"/>
      <c r="R71" s="92" t="s">
        <v>234</v>
      </c>
      <c r="S71" s="93"/>
      <c r="T71" s="93"/>
      <c r="U71" s="93"/>
      <c r="V71" s="93"/>
      <c r="W71" s="93"/>
      <c r="X71" s="93"/>
      <c r="Y71" s="93"/>
      <c r="Z71" s="93"/>
      <c r="AA71" s="94"/>
    </row>
    <row r="72" spans="1:27" x14ac:dyDescent="0.25">
      <c r="A72" s="122">
        <v>6</v>
      </c>
      <c r="B72" s="121">
        <f t="shared" si="18"/>
        <v>90</v>
      </c>
      <c r="C72" s="121">
        <f t="shared" si="16"/>
        <v>12</v>
      </c>
      <c r="D72" s="121">
        <f t="shared" si="13"/>
        <v>72</v>
      </c>
      <c r="E72" s="121">
        <f t="shared" si="14"/>
        <v>6</v>
      </c>
      <c r="F72" s="122">
        <v>6</v>
      </c>
      <c r="G72" s="131">
        <f t="shared" si="15"/>
        <v>11</v>
      </c>
      <c r="H72" s="131">
        <f t="shared" si="19"/>
        <v>8</v>
      </c>
      <c r="J72" s="86">
        <v>7</v>
      </c>
      <c r="K72" s="35"/>
      <c r="L72" s="35"/>
    </row>
    <row r="73" spans="1:27" x14ac:dyDescent="0.25">
      <c r="A73" s="122">
        <v>7</v>
      </c>
      <c r="B73" s="121">
        <f t="shared" si="18"/>
        <v>101.5</v>
      </c>
      <c r="C73" s="121">
        <f t="shared" si="16"/>
        <v>11</v>
      </c>
      <c r="D73" s="121">
        <f t="shared" si="13"/>
        <v>77</v>
      </c>
      <c r="E73" s="121">
        <f t="shared" si="14"/>
        <v>4</v>
      </c>
      <c r="F73" s="122">
        <v>7</v>
      </c>
      <c r="G73" s="131">
        <f t="shared" si="15"/>
        <v>10</v>
      </c>
      <c r="H73" s="131">
        <f t="shared" si="19"/>
        <v>6</v>
      </c>
      <c r="J73" s="88" t="s">
        <v>242</v>
      </c>
      <c r="K73" s="35"/>
      <c r="L73" s="35"/>
    </row>
    <row r="74" spans="1:27" x14ac:dyDescent="0.25">
      <c r="A74" s="122">
        <v>8</v>
      </c>
      <c r="B74" s="121">
        <f t="shared" si="18"/>
        <v>112</v>
      </c>
      <c r="C74" s="121">
        <f t="shared" si="16"/>
        <v>10</v>
      </c>
      <c r="D74" s="121">
        <f t="shared" si="13"/>
        <v>80</v>
      </c>
      <c r="E74" s="121">
        <f t="shared" si="14"/>
        <v>2</v>
      </c>
      <c r="F74" s="122">
        <v>8</v>
      </c>
      <c r="G74" s="131">
        <f t="shared" si="15"/>
        <v>9</v>
      </c>
      <c r="H74" s="131">
        <f t="shared" si="19"/>
        <v>4</v>
      </c>
      <c r="J74" s="88" t="s">
        <v>243</v>
      </c>
      <c r="K74" s="35"/>
      <c r="L74" s="35"/>
    </row>
    <row r="75" spans="1:27" x14ac:dyDescent="0.25">
      <c r="A75" s="122">
        <v>9</v>
      </c>
      <c r="B75" s="121">
        <f t="shared" si="18"/>
        <v>121.5</v>
      </c>
      <c r="C75" s="121">
        <f t="shared" si="16"/>
        <v>9</v>
      </c>
      <c r="D75" s="121">
        <f t="shared" si="13"/>
        <v>81</v>
      </c>
      <c r="E75" s="121">
        <f t="shared" si="14"/>
        <v>0</v>
      </c>
      <c r="F75" s="122">
        <v>9</v>
      </c>
      <c r="G75" s="131">
        <f t="shared" si="15"/>
        <v>8</v>
      </c>
      <c r="H75" s="131">
        <f t="shared" si="19"/>
        <v>2</v>
      </c>
    </row>
    <row r="76" spans="1:27" x14ac:dyDescent="0.25">
      <c r="A76" s="122">
        <v>10</v>
      </c>
      <c r="B76" s="121">
        <f t="shared" si="18"/>
        <v>130</v>
      </c>
      <c r="C76" s="121">
        <f t="shared" si="16"/>
        <v>8</v>
      </c>
      <c r="D76" s="121">
        <f t="shared" si="13"/>
        <v>80</v>
      </c>
      <c r="E76" s="121">
        <f t="shared" si="14"/>
        <v>-2</v>
      </c>
      <c r="F76" s="122">
        <v>10</v>
      </c>
      <c r="H76" s="131">
        <f t="shared" si="19"/>
        <v>0</v>
      </c>
    </row>
    <row r="77" spans="1:27" x14ac:dyDescent="0.25">
      <c r="A77" s="122">
        <v>11</v>
      </c>
      <c r="B77" s="121">
        <f t="shared" si="18"/>
        <v>137.5</v>
      </c>
      <c r="C77" s="121">
        <f t="shared" si="16"/>
        <v>7</v>
      </c>
      <c r="D77" s="121">
        <f t="shared" si="13"/>
        <v>77</v>
      </c>
      <c r="E77" s="121">
        <f t="shared" si="14"/>
        <v>-4</v>
      </c>
      <c r="F77" t="s">
        <v>244</v>
      </c>
    </row>
    <row r="78" spans="1:27" x14ac:dyDescent="0.25">
      <c r="A78" s="122">
        <v>12</v>
      </c>
      <c r="B78" s="121">
        <f t="shared" si="18"/>
        <v>144</v>
      </c>
      <c r="C78" s="121">
        <f t="shared" si="16"/>
        <v>6</v>
      </c>
      <c r="D78" s="121">
        <f t="shared" si="13"/>
        <v>72</v>
      </c>
      <c r="E78" s="121">
        <f t="shared" si="14"/>
        <v>-6</v>
      </c>
      <c r="F78" t="s">
        <v>245</v>
      </c>
    </row>
    <row r="79" spans="1:27" x14ac:dyDescent="0.25">
      <c r="A79" s="122">
        <v>13</v>
      </c>
      <c r="B79" s="121">
        <f t="shared" si="18"/>
        <v>149.5</v>
      </c>
      <c r="C79" s="121">
        <f t="shared" si="16"/>
        <v>5</v>
      </c>
      <c r="D79" s="121">
        <f t="shared" si="13"/>
        <v>65</v>
      </c>
      <c r="E79" s="121">
        <f t="shared" si="14"/>
        <v>-8</v>
      </c>
      <c r="F79" t="s">
        <v>246</v>
      </c>
    </row>
    <row r="80" spans="1:27" x14ac:dyDescent="0.25">
      <c r="A80" s="122">
        <v>14</v>
      </c>
      <c r="B80" s="121">
        <f t="shared" si="18"/>
        <v>154</v>
      </c>
      <c r="C80" s="121">
        <f t="shared" si="16"/>
        <v>4</v>
      </c>
      <c r="D80" s="121">
        <f t="shared" si="13"/>
        <v>56</v>
      </c>
      <c r="E80" s="121">
        <f t="shared" si="14"/>
        <v>-10</v>
      </c>
    </row>
    <row r="81" spans="1:5" x14ac:dyDescent="0.25">
      <c r="A81" s="122">
        <v>15</v>
      </c>
      <c r="B81" s="121">
        <f t="shared" si="18"/>
        <v>157.5</v>
      </c>
      <c r="C81" s="121">
        <f t="shared" si="16"/>
        <v>3</v>
      </c>
      <c r="D81" s="121">
        <f t="shared" si="13"/>
        <v>45</v>
      </c>
      <c r="E81" s="121">
        <f t="shared" si="14"/>
        <v>-12</v>
      </c>
    </row>
    <row r="82" spans="1:5" x14ac:dyDescent="0.25">
      <c r="A82" s="122">
        <v>16</v>
      </c>
      <c r="B82" s="121">
        <f t="shared" si="18"/>
        <v>160</v>
      </c>
      <c r="C82" s="121">
        <f t="shared" si="16"/>
        <v>2</v>
      </c>
      <c r="D82" s="121">
        <f t="shared" si="13"/>
        <v>32</v>
      </c>
      <c r="E82" s="121">
        <f t="shared" si="14"/>
        <v>-14</v>
      </c>
    </row>
    <row r="83" spans="1:5" x14ac:dyDescent="0.25">
      <c r="A83" s="122">
        <v>17</v>
      </c>
      <c r="B83" s="121">
        <f t="shared" si="18"/>
        <v>161.5</v>
      </c>
      <c r="C83" s="121">
        <f t="shared" si="16"/>
        <v>1</v>
      </c>
      <c r="D83" s="121">
        <f t="shared" si="13"/>
        <v>17</v>
      </c>
      <c r="E83" s="121">
        <f t="shared" si="14"/>
        <v>-16</v>
      </c>
    </row>
    <row r="84" spans="1:5" x14ac:dyDescent="0.25">
      <c r="A84" s="122">
        <v>18</v>
      </c>
      <c r="B84" s="121">
        <f t="shared" si="18"/>
        <v>162</v>
      </c>
      <c r="C84" s="121">
        <f t="shared" si="16"/>
        <v>0</v>
      </c>
      <c r="D84" s="121">
        <f t="shared" si="13"/>
        <v>0</v>
      </c>
      <c r="E84" s="121">
        <f t="shared" si="14"/>
        <v>-18</v>
      </c>
    </row>
    <row r="85" spans="1:5" x14ac:dyDescent="0.25">
      <c r="A85" s="122">
        <v>19</v>
      </c>
      <c r="B85" s="121">
        <f t="shared" si="18"/>
        <v>161.5</v>
      </c>
      <c r="C85" s="121">
        <f t="shared" si="16"/>
        <v>-1</v>
      </c>
      <c r="D85" s="121">
        <f t="shared" si="13"/>
        <v>-19</v>
      </c>
      <c r="E85" s="121">
        <f t="shared" si="14"/>
        <v>-20</v>
      </c>
    </row>
    <row r="86" spans="1:5" ht="15.75" thickBot="1" x14ac:dyDescent="0.3">
      <c r="A86" s="124">
        <v>20</v>
      </c>
      <c r="B86" s="125">
        <f t="shared" si="18"/>
        <v>160</v>
      </c>
      <c r="C86" s="125">
        <f t="shared" si="16"/>
        <v>-2</v>
      </c>
      <c r="D86" s="125">
        <f t="shared" si="13"/>
        <v>-40</v>
      </c>
      <c r="E86" s="125">
        <f t="shared" si="14"/>
        <v>-22</v>
      </c>
    </row>
  </sheetData>
  <sortState ref="O5:O31">
    <sortCondition descending="1" ref="O5"/>
  </sortState>
  <mergeCells count="6">
    <mergeCell ref="B63:C63"/>
    <mergeCell ref="G64:H64"/>
    <mergeCell ref="F62:L62"/>
    <mergeCell ref="M1:N1"/>
    <mergeCell ref="J1:L1"/>
    <mergeCell ref="D63:E63"/>
  </mergeCells>
  <pageMargins left="0.7" right="0.7"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1"/>
  <sheetViews>
    <sheetView workbookViewId="0">
      <selection activeCell="F1" sqref="F1"/>
    </sheetView>
  </sheetViews>
  <sheetFormatPr baseColWidth="10" defaultColWidth="9.140625" defaultRowHeight="15" x14ac:dyDescent="0.25"/>
  <cols>
    <col min="13" max="13" width="7.42578125" bestFit="1" customWidth="1"/>
    <col min="14" max="15" width="6" bestFit="1" customWidth="1"/>
    <col min="16" max="16" width="5" bestFit="1" customWidth="1"/>
  </cols>
  <sheetData>
    <row r="2" spans="1:16" x14ac:dyDescent="0.25">
      <c r="A2" s="1" t="s">
        <v>123</v>
      </c>
      <c r="B2" s="1"/>
      <c r="C2" s="1"/>
      <c r="D2" s="1"/>
    </row>
    <row r="3" spans="1:16" x14ac:dyDescent="0.25">
      <c r="B3" t="s">
        <v>124</v>
      </c>
      <c r="C3" s="47">
        <v>18</v>
      </c>
      <c r="D3" t="s">
        <v>146</v>
      </c>
      <c r="M3" s="13" t="s">
        <v>170</v>
      </c>
      <c r="N3" s="57">
        <v>0.55000000000000004</v>
      </c>
      <c r="O3" s="13" t="s">
        <v>171</v>
      </c>
      <c r="P3" s="13">
        <f>1/3</f>
        <v>0.33333333333333331</v>
      </c>
    </row>
    <row r="4" spans="1:16" x14ac:dyDescent="0.25">
      <c r="B4" t="s">
        <v>126</v>
      </c>
      <c r="C4" s="47">
        <v>1</v>
      </c>
      <c r="D4" t="s">
        <v>147</v>
      </c>
      <c r="M4" s="13" t="s">
        <v>127</v>
      </c>
      <c r="N4" s="57">
        <v>23</v>
      </c>
    </row>
    <row r="5" spans="1:16" x14ac:dyDescent="0.25">
      <c r="B5" t="s">
        <v>128</v>
      </c>
      <c r="C5" s="47">
        <v>18</v>
      </c>
      <c r="M5" s="13" t="s">
        <v>129</v>
      </c>
      <c r="N5" s="57">
        <v>1.43</v>
      </c>
    </row>
    <row r="6" spans="1:16" x14ac:dyDescent="0.25">
      <c r="B6" t="s">
        <v>130</v>
      </c>
      <c r="C6" s="47">
        <v>2</v>
      </c>
    </row>
    <row r="7" spans="1:16" x14ac:dyDescent="0.25">
      <c r="B7" s="8" t="s">
        <v>150</v>
      </c>
      <c r="C7" s="62">
        <v>1</v>
      </c>
      <c r="D7" t="s">
        <v>148</v>
      </c>
    </row>
    <row r="8" spans="1:16" x14ac:dyDescent="0.25">
      <c r="B8" s="8" t="s">
        <v>151</v>
      </c>
      <c r="C8" s="62">
        <v>2</v>
      </c>
      <c r="D8" t="s">
        <v>149</v>
      </c>
    </row>
    <row r="10" spans="1:16" x14ac:dyDescent="0.25">
      <c r="B10" t="s">
        <v>19</v>
      </c>
      <c r="C10" t="s">
        <v>133</v>
      </c>
      <c r="D10" t="s">
        <v>134</v>
      </c>
      <c r="E10" t="s">
        <v>135</v>
      </c>
      <c r="F10" t="s">
        <v>136</v>
      </c>
      <c r="M10" t="s">
        <v>69</v>
      </c>
      <c r="N10" t="s">
        <v>174</v>
      </c>
    </row>
    <row r="11" spans="1:16" x14ac:dyDescent="0.25">
      <c r="A11" s="53" t="s">
        <v>150</v>
      </c>
      <c r="B11" s="49">
        <v>1</v>
      </c>
      <c r="C11" s="47">
        <f>+$C$3-$C$4*B11</f>
        <v>17</v>
      </c>
      <c r="D11" s="47">
        <f>+$C$5-$C$6*B11</f>
        <v>16</v>
      </c>
      <c r="E11" s="47"/>
      <c r="F11" s="47"/>
      <c r="M11" s="59">
        <v>1</v>
      </c>
      <c r="N11" s="59">
        <f>+($N$4+$N$5*(M11))</f>
        <v>24.43</v>
      </c>
    </row>
    <row r="12" spans="1:16" x14ac:dyDescent="0.25">
      <c r="A12" s="60" t="s">
        <v>151</v>
      </c>
      <c r="B12" s="67">
        <v>2</v>
      </c>
      <c r="C12" s="58">
        <f t="shared" ref="C12:C27" si="0">+$C$3-$C$4*B12</f>
        <v>16</v>
      </c>
      <c r="D12" s="47">
        <f t="shared" ref="D12:D18" si="1">+$C$5-$C$6*B12</f>
        <v>14</v>
      </c>
      <c r="E12" s="58">
        <f>+$N$3*N11</f>
        <v>13.436500000000001</v>
      </c>
      <c r="F12" s="47"/>
      <c r="L12" s="47"/>
      <c r="M12" s="59">
        <v>2</v>
      </c>
      <c r="N12" s="59">
        <f t="shared" ref="N12:N27" si="2">+($N$4+$N$5*(M12))</f>
        <v>25.86</v>
      </c>
      <c r="O12" s="47"/>
    </row>
    <row r="13" spans="1:16" x14ac:dyDescent="0.25">
      <c r="A13" s="53" t="s">
        <v>75</v>
      </c>
      <c r="B13" s="55">
        <v>3</v>
      </c>
      <c r="C13" s="49">
        <f t="shared" si="0"/>
        <v>15</v>
      </c>
      <c r="D13" s="58">
        <f t="shared" si="1"/>
        <v>12</v>
      </c>
      <c r="E13" s="58">
        <f t="shared" ref="E13:E25" si="3">+$N$3*N12</f>
        <v>14.223000000000001</v>
      </c>
      <c r="F13" s="58">
        <f>$P$3*N11</f>
        <v>8.1433333333333326</v>
      </c>
      <c r="G13" s="47"/>
      <c r="L13" s="47"/>
      <c r="M13" s="59">
        <v>3</v>
      </c>
      <c r="N13" s="59">
        <f t="shared" si="2"/>
        <v>27.29</v>
      </c>
      <c r="O13" s="47"/>
    </row>
    <row r="14" spans="1:16" x14ac:dyDescent="0.25">
      <c r="A14" s="53" t="s">
        <v>1</v>
      </c>
      <c r="B14" s="65">
        <v>4</v>
      </c>
      <c r="C14" s="58">
        <f t="shared" si="0"/>
        <v>14</v>
      </c>
      <c r="D14" s="67">
        <f t="shared" si="1"/>
        <v>10</v>
      </c>
      <c r="E14" s="58">
        <f t="shared" si="3"/>
        <v>15.009500000000001</v>
      </c>
      <c r="F14" s="67">
        <f t="shared" ref="F14:F17" si="4">$P$3*N12</f>
        <v>8.6199999999999992</v>
      </c>
      <c r="G14" s="47"/>
      <c r="L14" s="47"/>
      <c r="M14" s="59">
        <v>4</v>
      </c>
      <c r="N14" s="59">
        <f t="shared" si="2"/>
        <v>28.72</v>
      </c>
      <c r="O14" s="47"/>
    </row>
    <row r="15" spans="1:16" x14ac:dyDescent="0.25">
      <c r="B15" s="47">
        <v>5</v>
      </c>
      <c r="C15" s="47">
        <f t="shared" si="0"/>
        <v>13</v>
      </c>
      <c r="D15" s="47">
        <f t="shared" si="1"/>
        <v>8</v>
      </c>
      <c r="E15" s="58">
        <f t="shared" si="3"/>
        <v>15.796000000000001</v>
      </c>
      <c r="F15" s="58">
        <f t="shared" si="4"/>
        <v>9.0966666666666658</v>
      </c>
      <c r="G15" s="47"/>
      <c r="L15" s="47"/>
      <c r="M15" s="59">
        <v>5</v>
      </c>
      <c r="N15" s="59">
        <f t="shared" si="2"/>
        <v>30.15</v>
      </c>
      <c r="O15" s="47"/>
    </row>
    <row r="16" spans="1:16" x14ac:dyDescent="0.25">
      <c r="B16" s="47">
        <v>6</v>
      </c>
      <c r="C16" s="47">
        <f t="shared" si="0"/>
        <v>12</v>
      </c>
      <c r="D16" s="47">
        <f t="shared" si="1"/>
        <v>6</v>
      </c>
      <c r="E16" s="58">
        <f t="shared" si="3"/>
        <v>16.5825</v>
      </c>
      <c r="F16" s="58">
        <f t="shared" si="4"/>
        <v>9.5733333333333324</v>
      </c>
      <c r="G16" s="47"/>
      <c r="L16" s="47"/>
      <c r="M16" s="59">
        <v>6</v>
      </c>
      <c r="N16" s="59">
        <f t="shared" si="2"/>
        <v>31.58</v>
      </c>
      <c r="O16" s="47"/>
    </row>
    <row r="17" spans="1:15" x14ac:dyDescent="0.25">
      <c r="B17" s="58">
        <v>7</v>
      </c>
      <c r="C17" s="58">
        <f t="shared" si="0"/>
        <v>11</v>
      </c>
      <c r="D17" s="58">
        <f t="shared" si="1"/>
        <v>4</v>
      </c>
      <c r="E17" s="58">
        <f t="shared" si="3"/>
        <v>17.369</v>
      </c>
      <c r="F17" s="58">
        <f t="shared" si="4"/>
        <v>10.049999999999999</v>
      </c>
      <c r="G17" s="47"/>
      <c r="L17" s="47"/>
      <c r="M17" s="59">
        <v>7</v>
      </c>
      <c r="N17" s="59">
        <f t="shared" si="2"/>
        <v>33.01</v>
      </c>
      <c r="O17" s="58"/>
    </row>
    <row r="18" spans="1:15" x14ac:dyDescent="0.25">
      <c r="B18" s="47">
        <v>8</v>
      </c>
      <c r="C18" s="47">
        <f t="shared" si="0"/>
        <v>10</v>
      </c>
      <c r="D18" s="47">
        <f t="shared" si="1"/>
        <v>2</v>
      </c>
      <c r="E18" s="58">
        <f t="shared" si="3"/>
        <v>18.1555</v>
      </c>
      <c r="F18" s="47"/>
      <c r="G18" s="47"/>
      <c r="L18" s="47"/>
      <c r="M18" s="59">
        <v>8</v>
      </c>
      <c r="N18" s="59">
        <f t="shared" si="2"/>
        <v>34.44</v>
      </c>
      <c r="O18" s="47"/>
    </row>
    <row r="19" spans="1:15" x14ac:dyDescent="0.25">
      <c r="B19" s="47">
        <v>9</v>
      </c>
      <c r="C19" s="47">
        <f t="shared" si="0"/>
        <v>9</v>
      </c>
      <c r="D19" s="47" t="s">
        <v>141</v>
      </c>
      <c r="E19" s="58">
        <f t="shared" si="3"/>
        <v>18.942</v>
      </c>
      <c r="F19" s="47"/>
      <c r="G19" s="47"/>
      <c r="L19" s="47"/>
      <c r="M19" s="59">
        <v>9</v>
      </c>
      <c r="N19" s="59">
        <f t="shared" si="2"/>
        <v>35.869999999999997</v>
      </c>
      <c r="O19" s="47"/>
    </row>
    <row r="20" spans="1:15" x14ac:dyDescent="0.25">
      <c r="B20" s="58">
        <v>10</v>
      </c>
      <c r="C20" s="58">
        <f t="shared" si="0"/>
        <v>8</v>
      </c>
      <c r="D20" s="58"/>
      <c r="E20" s="58">
        <f t="shared" si="3"/>
        <v>19.7285</v>
      </c>
      <c r="F20" s="47"/>
      <c r="G20" s="47"/>
      <c r="L20" s="58"/>
      <c r="M20" s="59">
        <v>10</v>
      </c>
      <c r="N20" s="59">
        <f t="shared" si="2"/>
        <v>37.299999999999997</v>
      </c>
      <c r="O20" s="47"/>
    </row>
    <row r="21" spans="1:15" x14ac:dyDescent="0.25">
      <c r="B21" s="47">
        <v>11</v>
      </c>
      <c r="C21" s="47">
        <f t="shared" si="0"/>
        <v>7</v>
      </c>
      <c r="D21" s="47"/>
      <c r="E21" s="58">
        <f t="shared" si="3"/>
        <v>20.515000000000001</v>
      </c>
      <c r="F21" s="47"/>
      <c r="G21" s="47"/>
      <c r="L21" s="47"/>
      <c r="M21" s="59">
        <v>11</v>
      </c>
      <c r="N21" s="59">
        <f t="shared" si="2"/>
        <v>38.729999999999997</v>
      </c>
      <c r="O21" s="47"/>
    </row>
    <row r="22" spans="1:15" x14ac:dyDescent="0.25">
      <c r="B22" s="47">
        <v>12</v>
      </c>
      <c r="C22" s="47">
        <f t="shared" si="0"/>
        <v>6</v>
      </c>
      <c r="D22" s="47"/>
      <c r="E22" s="58">
        <f t="shared" si="3"/>
        <v>21.301500000000001</v>
      </c>
      <c r="F22" s="47"/>
      <c r="G22" s="47"/>
      <c r="L22" s="47"/>
      <c r="M22" s="59">
        <v>12</v>
      </c>
      <c r="N22" s="59">
        <f t="shared" si="2"/>
        <v>40.159999999999997</v>
      </c>
      <c r="O22" s="47"/>
    </row>
    <row r="23" spans="1:15" x14ac:dyDescent="0.25">
      <c r="B23" s="47">
        <v>13</v>
      </c>
      <c r="C23" s="47">
        <f t="shared" si="0"/>
        <v>5</v>
      </c>
      <c r="D23" s="47"/>
      <c r="E23" s="58">
        <f t="shared" si="3"/>
        <v>22.088000000000001</v>
      </c>
      <c r="F23" s="47"/>
      <c r="G23" s="47"/>
      <c r="L23" s="47"/>
      <c r="M23" s="59">
        <v>13</v>
      </c>
      <c r="N23" s="59">
        <f t="shared" si="2"/>
        <v>41.59</v>
      </c>
      <c r="O23" s="47"/>
    </row>
    <row r="24" spans="1:15" x14ac:dyDescent="0.25">
      <c r="B24" s="47">
        <v>14</v>
      </c>
      <c r="C24" s="47">
        <f t="shared" si="0"/>
        <v>4</v>
      </c>
      <c r="D24" s="47"/>
      <c r="E24" s="58">
        <f t="shared" si="3"/>
        <v>22.874500000000005</v>
      </c>
      <c r="F24" s="47"/>
      <c r="G24" s="47"/>
      <c r="L24" s="47"/>
      <c r="M24" s="59">
        <v>14</v>
      </c>
      <c r="N24" s="59">
        <f t="shared" si="2"/>
        <v>43.019999999999996</v>
      </c>
      <c r="O24" s="47"/>
    </row>
    <row r="25" spans="1:15" x14ac:dyDescent="0.25">
      <c r="B25" s="47">
        <v>15</v>
      </c>
      <c r="C25" s="47">
        <f t="shared" si="0"/>
        <v>3</v>
      </c>
      <c r="D25" s="47"/>
      <c r="E25" s="58">
        <f t="shared" si="3"/>
        <v>23.661000000000001</v>
      </c>
      <c r="F25" s="47"/>
      <c r="G25" s="47"/>
      <c r="L25" s="47"/>
      <c r="M25" s="59">
        <v>15</v>
      </c>
      <c r="N25" s="59">
        <f t="shared" si="2"/>
        <v>44.45</v>
      </c>
      <c r="O25" s="47"/>
    </row>
    <row r="26" spans="1:15" x14ac:dyDescent="0.25">
      <c r="B26" s="47">
        <v>16</v>
      </c>
      <c r="C26" s="47">
        <f t="shared" si="0"/>
        <v>2</v>
      </c>
      <c r="D26" s="47"/>
      <c r="G26" s="47"/>
      <c r="L26" s="47"/>
      <c r="M26" s="59">
        <v>16</v>
      </c>
      <c r="N26" s="59">
        <f t="shared" si="2"/>
        <v>45.879999999999995</v>
      </c>
      <c r="O26" s="47"/>
    </row>
    <row r="27" spans="1:15" x14ac:dyDescent="0.25">
      <c r="B27" s="47">
        <v>17</v>
      </c>
      <c r="C27" s="47">
        <f t="shared" si="0"/>
        <v>1</v>
      </c>
      <c r="D27" s="47"/>
      <c r="L27" s="47"/>
      <c r="M27" s="59">
        <v>17</v>
      </c>
      <c r="N27" s="59">
        <f t="shared" si="2"/>
        <v>47.31</v>
      </c>
      <c r="O27" s="47"/>
    </row>
    <row r="28" spans="1:15" x14ac:dyDescent="0.25">
      <c r="B28" t="s">
        <v>141</v>
      </c>
      <c r="C28" t="s">
        <v>141</v>
      </c>
    </row>
    <row r="30" spans="1:15" x14ac:dyDescent="0.25">
      <c r="A30" s="1" t="s">
        <v>143</v>
      </c>
      <c r="B30" s="1"/>
      <c r="C30" s="1"/>
      <c r="D30" s="1"/>
    </row>
    <row r="31" spans="1:15" x14ac:dyDescent="0.25">
      <c r="B31" t="s">
        <v>124</v>
      </c>
      <c r="C31" s="47">
        <v>18</v>
      </c>
      <c r="M31" t="s">
        <v>125</v>
      </c>
      <c r="N31" s="47">
        <v>0.7</v>
      </c>
    </row>
    <row r="32" spans="1:15" x14ac:dyDescent="0.25">
      <c r="B32" t="s">
        <v>126</v>
      </c>
      <c r="C32" s="47">
        <v>1</v>
      </c>
      <c r="M32" t="s">
        <v>127</v>
      </c>
      <c r="N32" s="47">
        <v>17.5</v>
      </c>
    </row>
    <row r="33" spans="2:15" x14ac:dyDescent="0.25">
      <c r="B33" t="s">
        <v>128</v>
      </c>
      <c r="C33" s="47">
        <v>18</v>
      </c>
      <c r="M33" t="s">
        <v>129</v>
      </c>
      <c r="N33" s="47">
        <v>1.43</v>
      </c>
    </row>
    <row r="34" spans="2:15" x14ac:dyDescent="0.25">
      <c r="B34" t="s">
        <v>130</v>
      </c>
      <c r="C34" s="47">
        <v>2</v>
      </c>
    </row>
    <row r="35" spans="2:15" x14ac:dyDescent="0.25">
      <c r="B35" t="s">
        <v>131</v>
      </c>
      <c r="C35" s="47">
        <v>3</v>
      </c>
    </row>
    <row r="36" spans="2:15" x14ac:dyDescent="0.25">
      <c r="B36" t="s">
        <v>132</v>
      </c>
      <c r="C36" s="47">
        <v>4</v>
      </c>
      <c r="E36" t="s">
        <v>135</v>
      </c>
      <c r="F36" t="s">
        <v>136</v>
      </c>
    </row>
    <row r="37" spans="2:15" x14ac:dyDescent="0.25">
      <c r="E37" s="47"/>
      <c r="F37" s="47"/>
    </row>
    <row r="38" spans="2:15" x14ac:dyDescent="0.25">
      <c r="B38" t="s">
        <v>19</v>
      </c>
      <c r="C38" t="s">
        <v>133</v>
      </c>
      <c r="D38" t="s">
        <v>134</v>
      </c>
      <c r="E38" s="47"/>
      <c r="F38" s="47"/>
      <c r="L38" t="s">
        <v>137</v>
      </c>
      <c r="M38" t="s">
        <v>138</v>
      </c>
      <c r="N38" t="s">
        <v>139</v>
      </c>
      <c r="O38" t="s">
        <v>140</v>
      </c>
    </row>
    <row r="39" spans="2:15" x14ac:dyDescent="0.25">
      <c r="B39" s="47">
        <v>1</v>
      </c>
      <c r="C39" s="47">
        <f>+$C$3-$C$4*B39</f>
        <v>17</v>
      </c>
      <c r="D39" s="47">
        <f>+$C$5-$C$6*B39</f>
        <v>16</v>
      </c>
      <c r="E39" s="47">
        <f t="shared" ref="E39:E53" si="5">+$N$31*N41</f>
        <v>14.251999999999999</v>
      </c>
      <c r="F39" s="47"/>
    </row>
    <row r="40" spans="2:15" x14ac:dyDescent="0.25">
      <c r="B40" s="47">
        <v>2</v>
      </c>
      <c r="C40" s="47">
        <f t="shared" ref="C40:C55" si="6">+$C$3-$C$4*B40</f>
        <v>16</v>
      </c>
      <c r="D40" s="47">
        <f t="shared" ref="D40:D46" si="7">+$C$5-$C$6*B40</f>
        <v>14</v>
      </c>
      <c r="E40" s="48">
        <f t="shared" si="5"/>
        <v>15.252999999999998</v>
      </c>
      <c r="F40" s="47">
        <f>+$N$31*O42</f>
        <v>14.251999999999999</v>
      </c>
      <c r="L40" s="47"/>
      <c r="M40" s="47"/>
      <c r="N40" s="47"/>
      <c r="O40" s="47"/>
    </row>
    <row r="41" spans="2:15" x14ac:dyDescent="0.25">
      <c r="B41" s="48">
        <v>3</v>
      </c>
      <c r="C41" s="48">
        <f t="shared" si="6"/>
        <v>15</v>
      </c>
      <c r="D41" s="47">
        <f t="shared" si="7"/>
        <v>12</v>
      </c>
      <c r="E41" s="47">
        <f t="shared" si="5"/>
        <v>16.253999999999998</v>
      </c>
      <c r="F41" s="47">
        <f t="shared" ref="F41:F44" si="8">+$N$31*O43</f>
        <v>15.252999999999998</v>
      </c>
      <c r="L41" s="50">
        <f>+B41-$C$7</f>
        <v>2</v>
      </c>
      <c r="M41" s="47"/>
      <c r="N41" s="50">
        <f>+($N$32+$N$33*(B41-$C$7))</f>
        <v>20.36</v>
      </c>
      <c r="O41" s="47"/>
    </row>
    <row r="42" spans="2:15" x14ac:dyDescent="0.25">
      <c r="B42" s="49">
        <v>4</v>
      </c>
      <c r="C42" s="48">
        <f t="shared" si="6"/>
        <v>14</v>
      </c>
      <c r="D42" s="49">
        <f t="shared" si="7"/>
        <v>10</v>
      </c>
      <c r="E42" s="47">
        <f t="shared" si="5"/>
        <v>17.254999999999999</v>
      </c>
      <c r="F42" s="47">
        <f t="shared" si="8"/>
        <v>16.253999999999998</v>
      </c>
      <c r="L42" s="48">
        <f t="shared" ref="L42:L55" si="9">+B42-$C$7</f>
        <v>3</v>
      </c>
      <c r="M42" s="49">
        <f>+B42-$C$8</f>
        <v>2</v>
      </c>
      <c r="N42" s="48">
        <f t="shared" ref="N42:N55" si="10">+($N$32+$N$33*(B42-$C$7))</f>
        <v>21.79</v>
      </c>
      <c r="O42" s="49">
        <f>+($N$32+$N$33*(B42-$C$8))</f>
        <v>20.36</v>
      </c>
    </row>
    <row r="43" spans="2:15" x14ac:dyDescent="0.25">
      <c r="B43" s="47">
        <v>5</v>
      </c>
      <c r="C43" s="47">
        <f t="shared" si="6"/>
        <v>13</v>
      </c>
      <c r="D43" s="47">
        <f t="shared" si="7"/>
        <v>8</v>
      </c>
      <c r="E43" s="47">
        <f t="shared" si="5"/>
        <v>18.255999999999997</v>
      </c>
      <c r="F43" s="47">
        <f t="shared" si="8"/>
        <v>17.254999999999999</v>
      </c>
      <c r="L43" s="47">
        <f t="shared" si="9"/>
        <v>4</v>
      </c>
      <c r="M43" s="47">
        <f t="shared" ref="M43:M46" si="11">+B43-$C$8</f>
        <v>3</v>
      </c>
      <c r="N43" s="47">
        <f t="shared" si="10"/>
        <v>23.22</v>
      </c>
      <c r="O43" s="47">
        <f t="shared" ref="O43:O46" si="12">+($N$32+$N$33*(B43-$C$8))</f>
        <v>21.79</v>
      </c>
    </row>
    <row r="44" spans="2:15" x14ac:dyDescent="0.25">
      <c r="B44" s="47">
        <v>6</v>
      </c>
      <c r="C44" s="47">
        <f t="shared" si="6"/>
        <v>12</v>
      </c>
      <c r="D44" s="47">
        <f t="shared" si="7"/>
        <v>6</v>
      </c>
      <c r="E44" s="47">
        <f t="shared" si="5"/>
        <v>19.256999999999998</v>
      </c>
      <c r="F44" s="47">
        <f t="shared" si="8"/>
        <v>18.255999999999997</v>
      </c>
      <c r="L44" s="47">
        <f t="shared" si="9"/>
        <v>5</v>
      </c>
      <c r="M44" s="47">
        <f t="shared" si="11"/>
        <v>4</v>
      </c>
      <c r="N44" s="47">
        <f t="shared" si="10"/>
        <v>24.65</v>
      </c>
      <c r="O44" s="47">
        <f t="shared" si="12"/>
        <v>23.22</v>
      </c>
    </row>
    <row r="45" spans="2:15" x14ac:dyDescent="0.25">
      <c r="B45" s="50">
        <v>7</v>
      </c>
      <c r="C45" s="47">
        <f t="shared" si="6"/>
        <v>11</v>
      </c>
      <c r="D45" s="50">
        <f t="shared" si="7"/>
        <v>4</v>
      </c>
      <c r="E45" s="47">
        <f t="shared" si="5"/>
        <v>20.257999999999996</v>
      </c>
      <c r="F45" s="47"/>
      <c r="L45" s="47">
        <f t="shared" si="9"/>
        <v>6</v>
      </c>
      <c r="M45" s="50">
        <f t="shared" si="11"/>
        <v>5</v>
      </c>
      <c r="N45" s="47">
        <f t="shared" si="10"/>
        <v>26.08</v>
      </c>
      <c r="O45" s="47">
        <f t="shared" si="12"/>
        <v>24.65</v>
      </c>
    </row>
    <row r="46" spans="2:15" x14ac:dyDescent="0.25">
      <c r="B46" s="47">
        <v>8</v>
      </c>
      <c r="C46" s="47">
        <f t="shared" si="6"/>
        <v>10</v>
      </c>
      <c r="D46" s="47">
        <f t="shared" si="7"/>
        <v>2</v>
      </c>
      <c r="E46" s="47">
        <f t="shared" si="5"/>
        <v>21.258999999999997</v>
      </c>
      <c r="F46" s="47"/>
      <c r="L46" s="47">
        <f t="shared" si="9"/>
        <v>7</v>
      </c>
      <c r="M46" s="47">
        <f t="shared" si="11"/>
        <v>6</v>
      </c>
      <c r="N46" s="47">
        <f t="shared" si="10"/>
        <v>27.509999999999998</v>
      </c>
      <c r="O46" s="47">
        <f t="shared" si="12"/>
        <v>26.08</v>
      </c>
    </row>
    <row r="47" spans="2:15" x14ac:dyDescent="0.25">
      <c r="B47" s="47">
        <v>9</v>
      </c>
      <c r="C47" s="47">
        <f t="shared" si="6"/>
        <v>9</v>
      </c>
      <c r="D47" s="47" t="s">
        <v>141</v>
      </c>
      <c r="E47" s="47">
        <f t="shared" si="5"/>
        <v>22.259999999999998</v>
      </c>
      <c r="F47" s="47"/>
      <c r="L47" s="47">
        <f t="shared" si="9"/>
        <v>8</v>
      </c>
      <c r="M47" s="47" t="s">
        <v>141</v>
      </c>
      <c r="N47" s="47">
        <f t="shared" si="10"/>
        <v>28.939999999999998</v>
      </c>
      <c r="O47" s="47" t="s">
        <v>141</v>
      </c>
    </row>
    <row r="48" spans="2:15" x14ac:dyDescent="0.25">
      <c r="B48" s="50">
        <v>10</v>
      </c>
      <c r="C48" s="50">
        <f t="shared" si="6"/>
        <v>8</v>
      </c>
      <c r="D48" s="50"/>
      <c r="E48" s="47">
        <f t="shared" si="5"/>
        <v>23.260999999999996</v>
      </c>
      <c r="F48" s="47"/>
      <c r="L48" s="50">
        <f t="shared" si="9"/>
        <v>9</v>
      </c>
      <c r="M48" s="50" t="s">
        <v>141</v>
      </c>
      <c r="N48" s="47">
        <f t="shared" si="10"/>
        <v>30.369999999999997</v>
      </c>
      <c r="O48" s="47"/>
    </row>
    <row r="49" spans="1:15" x14ac:dyDescent="0.25">
      <c r="B49" s="47">
        <v>11</v>
      </c>
      <c r="C49" s="47">
        <f t="shared" si="6"/>
        <v>7</v>
      </c>
      <c r="D49" s="47"/>
      <c r="E49" s="47">
        <f t="shared" si="5"/>
        <v>24.261999999999997</v>
      </c>
      <c r="F49" s="47"/>
      <c r="L49" s="47">
        <f t="shared" si="9"/>
        <v>10</v>
      </c>
      <c r="M49" s="47" t="s">
        <v>141</v>
      </c>
      <c r="N49" s="47">
        <f t="shared" si="10"/>
        <v>31.799999999999997</v>
      </c>
      <c r="O49" s="47"/>
    </row>
    <row r="50" spans="1:15" x14ac:dyDescent="0.25">
      <c r="B50" s="47">
        <v>12</v>
      </c>
      <c r="C50" s="47">
        <f t="shared" si="6"/>
        <v>6</v>
      </c>
      <c r="D50" s="47"/>
      <c r="E50" s="47">
        <f t="shared" si="5"/>
        <v>25.263000000000002</v>
      </c>
      <c r="F50" s="47"/>
      <c r="L50" s="47">
        <f t="shared" si="9"/>
        <v>11</v>
      </c>
      <c r="M50" s="47" t="s">
        <v>141</v>
      </c>
      <c r="N50" s="47">
        <f t="shared" si="10"/>
        <v>33.229999999999997</v>
      </c>
      <c r="O50" s="47"/>
    </row>
    <row r="51" spans="1:15" x14ac:dyDescent="0.25">
      <c r="B51" s="47">
        <v>13</v>
      </c>
      <c r="C51" s="47">
        <f t="shared" si="6"/>
        <v>5</v>
      </c>
      <c r="D51" s="47"/>
      <c r="E51" s="47">
        <f t="shared" si="5"/>
        <v>26.263999999999996</v>
      </c>
      <c r="F51" s="47"/>
      <c r="L51" s="47">
        <f t="shared" si="9"/>
        <v>12</v>
      </c>
      <c r="M51" s="47" t="s">
        <v>141</v>
      </c>
      <c r="N51" s="47">
        <f t="shared" si="10"/>
        <v>34.659999999999997</v>
      </c>
      <c r="O51" s="47"/>
    </row>
    <row r="52" spans="1:15" x14ac:dyDescent="0.25">
      <c r="B52" s="47">
        <v>14</v>
      </c>
      <c r="C52" s="47">
        <f t="shared" si="6"/>
        <v>4</v>
      </c>
      <c r="D52" s="47"/>
      <c r="E52" s="47">
        <f t="shared" si="5"/>
        <v>27.265000000000001</v>
      </c>
      <c r="F52" s="47"/>
      <c r="L52" s="47">
        <f t="shared" si="9"/>
        <v>13</v>
      </c>
      <c r="M52" s="47" t="s">
        <v>141</v>
      </c>
      <c r="N52" s="47">
        <f t="shared" si="10"/>
        <v>36.090000000000003</v>
      </c>
      <c r="O52" s="47"/>
    </row>
    <row r="53" spans="1:15" x14ac:dyDescent="0.25">
      <c r="B53" s="47">
        <v>15</v>
      </c>
      <c r="C53" s="47">
        <f t="shared" si="6"/>
        <v>3</v>
      </c>
      <c r="D53" s="47"/>
      <c r="E53" s="47">
        <f t="shared" si="5"/>
        <v>28.265999999999995</v>
      </c>
      <c r="F53" s="47"/>
      <c r="L53" s="47">
        <f t="shared" si="9"/>
        <v>14</v>
      </c>
      <c r="M53" s="47" t="s">
        <v>141</v>
      </c>
      <c r="N53" s="47">
        <f t="shared" si="10"/>
        <v>37.519999999999996</v>
      </c>
      <c r="O53" s="47"/>
    </row>
    <row r="54" spans="1:15" x14ac:dyDescent="0.25">
      <c r="B54" s="47">
        <v>16</v>
      </c>
      <c r="C54" s="47">
        <f t="shared" si="6"/>
        <v>2</v>
      </c>
      <c r="D54" s="47"/>
      <c r="L54" s="47">
        <f t="shared" si="9"/>
        <v>15</v>
      </c>
      <c r="M54" s="47" t="s">
        <v>142</v>
      </c>
      <c r="N54" s="47">
        <f t="shared" si="10"/>
        <v>38.950000000000003</v>
      </c>
      <c r="O54" s="47"/>
    </row>
    <row r="55" spans="1:15" x14ac:dyDescent="0.25">
      <c r="B55" s="47">
        <v>17</v>
      </c>
      <c r="C55" s="47">
        <f t="shared" si="6"/>
        <v>1</v>
      </c>
      <c r="D55" s="47"/>
      <c r="L55" s="47">
        <f t="shared" si="9"/>
        <v>16</v>
      </c>
      <c r="M55" s="47" t="s">
        <v>141</v>
      </c>
      <c r="N55" s="47">
        <f t="shared" si="10"/>
        <v>40.379999999999995</v>
      </c>
      <c r="O55" s="47"/>
    </row>
    <row r="58" spans="1:15" x14ac:dyDescent="0.25">
      <c r="A58" s="1" t="s">
        <v>144</v>
      </c>
      <c r="B58" s="1"/>
      <c r="C58" s="1"/>
      <c r="D58" s="1"/>
    </row>
    <row r="59" spans="1:15" x14ac:dyDescent="0.25">
      <c r="B59" t="s">
        <v>124</v>
      </c>
      <c r="C59" s="47">
        <v>18</v>
      </c>
      <c r="M59" t="s">
        <v>125</v>
      </c>
      <c r="N59" s="47">
        <v>0.35</v>
      </c>
    </row>
    <row r="60" spans="1:15" x14ac:dyDescent="0.25">
      <c r="B60" t="s">
        <v>126</v>
      </c>
      <c r="C60" s="47">
        <v>1</v>
      </c>
      <c r="M60" t="s">
        <v>127</v>
      </c>
      <c r="N60" s="47">
        <v>2</v>
      </c>
    </row>
    <row r="61" spans="1:15" x14ac:dyDescent="0.25">
      <c r="B61" t="s">
        <v>128</v>
      </c>
      <c r="C61" s="47">
        <v>18</v>
      </c>
      <c r="M61" t="s">
        <v>129</v>
      </c>
      <c r="N61" s="47">
        <v>2.9</v>
      </c>
    </row>
    <row r="62" spans="1:15" x14ac:dyDescent="0.25">
      <c r="B62" t="s">
        <v>130</v>
      </c>
      <c r="C62" s="47">
        <v>2</v>
      </c>
    </row>
    <row r="63" spans="1:15" x14ac:dyDescent="0.25">
      <c r="B63" t="s">
        <v>131</v>
      </c>
      <c r="C63" s="47">
        <v>7</v>
      </c>
    </row>
    <row r="64" spans="1:15" x14ac:dyDescent="0.25">
      <c r="B64" t="s">
        <v>132</v>
      </c>
      <c r="C64" s="47">
        <v>7</v>
      </c>
      <c r="E64" s="47" t="s">
        <v>135</v>
      </c>
      <c r="F64" s="47" t="s">
        <v>136</v>
      </c>
    </row>
    <row r="65" spans="2:15" x14ac:dyDescent="0.25">
      <c r="E65" s="47"/>
      <c r="F65" s="47"/>
    </row>
    <row r="66" spans="2:15" x14ac:dyDescent="0.25">
      <c r="B66" s="47" t="s">
        <v>19</v>
      </c>
      <c r="C66" s="47" t="s">
        <v>133</v>
      </c>
      <c r="D66" s="47" t="s">
        <v>134</v>
      </c>
      <c r="E66" s="47"/>
      <c r="F66" s="47"/>
      <c r="G66" s="47"/>
      <c r="H66" s="47"/>
      <c r="I66" s="47"/>
      <c r="J66" s="47"/>
      <c r="K66" s="47"/>
      <c r="L66" s="47" t="s">
        <v>137</v>
      </c>
      <c r="M66" s="47" t="s">
        <v>138</v>
      </c>
      <c r="N66" s="47" t="s">
        <v>139</v>
      </c>
      <c r="O66" s="47" t="s">
        <v>140</v>
      </c>
    </row>
    <row r="67" spans="2:15" x14ac:dyDescent="0.25">
      <c r="B67" s="47">
        <v>1</v>
      </c>
      <c r="C67" s="47">
        <f>+$C$3-$C$4*B67</f>
        <v>17</v>
      </c>
      <c r="D67" s="47">
        <f>+$C$5-$C$6*B67</f>
        <v>16</v>
      </c>
      <c r="E67" s="50" t="s">
        <v>141</v>
      </c>
      <c r="F67" s="50"/>
    </row>
    <row r="68" spans="2:15" x14ac:dyDescent="0.25">
      <c r="B68" s="47">
        <v>2</v>
      </c>
      <c r="C68" s="47">
        <f t="shared" ref="C68:C83" si="13">+$C$3-$C$4*B68</f>
        <v>16</v>
      </c>
      <c r="D68" s="47">
        <f t="shared" ref="D68:D74" si="14">+$C$5-$C$6*B68</f>
        <v>14</v>
      </c>
      <c r="E68" s="50" t="s">
        <v>141</v>
      </c>
      <c r="F68" s="50" t="s">
        <v>141</v>
      </c>
      <c r="L68" s="47"/>
      <c r="M68" s="47"/>
      <c r="N68" s="47"/>
      <c r="O68" s="47"/>
    </row>
    <row r="69" spans="2:15" x14ac:dyDescent="0.25">
      <c r="B69" s="50">
        <v>3</v>
      </c>
      <c r="C69" s="50">
        <f t="shared" si="13"/>
        <v>15</v>
      </c>
      <c r="D69" s="50">
        <f t="shared" si="14"/>
        <v>12</v>
      </c>
      <c r="E69" s="50" t="s">
        <v>141</v>
      </c>
      <c r="F69" s="50" t="s">
        <v>141</v>
      </c>
      <c r="L69" s="47" t="s">
        <v>141</v>
      </c>
      <c r="M69" s="47"/>
      <c r="N69" s="47"/>
      <c r="O69" s="47"/>
    </row>
    <row r="70" spans="2:15" x14ac:dyDescent="0.25">
      <c r="B70" s="50">
        <v>4</v>
      </c>
      <c r="C70" s="50">
        <f t="shared" si="13"/>
        <v>14</v>
      </c>
      <c r="D70" s="50">
        <f t="shared" si="14"/>
        <v>10</v>
      </c>
      <c r="E70" s="50" t="s">
        <v>141</v>
      </c>
      <c r="F70" s="50" t="s">
        <v>141</v>
      </c>
      <c r="L70" s="47" t="s">
        <v>141</v>
      </c>
      <c r="M70" s="47" t="s">
        <v>141</v>
      </c>
      <c r="N70" s="47"/>
      <c r="O70" s="47"/>
    </row>
    <row r="71" spans="2:15" x14ac:dyDescent="0.25">
      <c r="B71" s="50">
        <v>5</v>
      </c>
      <c r="C71" s="50">
        <f t="shared" si="13"/>
        <v>13</v>
      </c>
      <c r="D71" s="50">
        <f t="shared" si="14"/>
        <v>8</v>
      </c>
      <c r="E71" s="50">
        <f>+$N$59*N73</f>
        <v>0.7</v>
      </c>
      <c r="F71" s="50">
        <f>+$N$59*O73</f>
        <v>0.7</v>
      </c>
      <c r="L71" s="47" t="s">
        <v>141</v>
      </c>
      <c r="M71" s="47" t="s">
        <v>141</v>
      </c>
      <c r="N71" s="47"/>
      <c r="O71" s="47"/>
    </row>
    <row r="72" spans="2:15" x14ac:dyDescent="0.25">
      <c r="B72" s="50">
        <v>6</v>
      </c>
      <c r="C72" s="50">
        <f t="shared" si="13"/>
        <v>12</v>
      </c>
      <c r="D72" s="50">
        <f t="shared" si="14"/>
        <v>6</v>
      </c>
      <c r="E72" s="50">
        <f t="shared" ref="E72:E81" si="15">+$N$59*N74</f>
        <v>1.7150000000000001</v>
      </c>
      <c r="F72" s="49">
        <f>+$N$59*O74</f>
        <v>1.7150000000000001</v>
      </c>
      <c r="L72" s="47" t="s">
        <v>141</v>
      </c>
      <c r="M72" s="47" t="s">
        <v>141</v>
      </c>
      <c r="N72" s="47"/>
      <c r="O72" s="47"/>
    </row>
    <row r="73" spans="2:15" x14ac:dyDescent="0.25">
      <c r="B73" s="48">
        <v>7</v>
      </c>
      <c r="C73" s="48">
        <f t="shared" si="13"/>
        <v>11</v>
      </c>
      <c r="D73" s="50">
        <f t="shared" si="14"/>
        <v>4</v>
      </c>
      <c r="E73" s="50">
        <f t="shared" si="15"/>
        <v>2.73</v>
      </c>
      <c r="F73" s="50"/>
      <c r="L73" s="50">
        <f>+B73-$C$63</f>
        <v>0</v>
      </c>
      <c r="M73" s="50">
        <f>+B73-$C$64</f>
        <v>0</v>
      </c>
      <c r="N73" s="50">
        <f>+($N$60+$N$61*(B73-$C$63))</f>
        <v>2</v>
      </c>
      <c r="O73" s="50">
        <f>+($N$60+$N$61*(B73-$C$64))</f>
        <v>2</v>
      </c>
    </row>
    <row r="74" spans="2:15" x14ac:dyDescent="0.25">
      <c r="B74" s="50">
        <v>8</v>
      </c>
      <c r="C74" s="50">
        <f t="shared" si="13"/>
        <v>10</v>
      </c>
      <c r="D74" s="49">
        <f t="shared" si="14"/>
        <v>2</v>
      </c>
      <c r="E74" s="50">
        <f t="shared" si="15"/>
        <v>3.7449999999999997</v>
      </c>
      <c r="F74" s="50"/>
      <c r="L74" s="50">
        <f t="shared" ref="L74:L83" si="16">+B74-$C$63</f>
        <v>1</v>
      </c>
      <c r="M74" s="49">
        <f>+B74-$C$64</f>
        <v>1</v>
      </c>
      <c r="N74" s="50">
        <f t="shared" ref="N74:N83" si="17">+($N$60+$N$61*(B74-$C$63))</f>
        <v>4.9000000000000004</v>
      </c>
      <c r="O74" s="49">
        <f>+($N$60+$N$61*(B74-$C$64))</f>
        <v>4.9000000000000004</v>
      </c>
    </row>
    <row r="75" spans="2:15" x14ac:dyDescent="0.25">
      <c r="B75" s="50">
        <v>9</v>
      </c>
      <c r="C75" s="50">
        <f t="shared" si="13"/>
        <v>9</v>
      </c>
      <c r="D75" s="50" t="s">
        <v>141</v>
      </c>
      <c r="E75" s="50">
        <f t="shared" si="15"/>
        <v>4.76</v>
      </c>
      <c r="F75" s="47"/>
      <c r="L75" s="50">
        <f t="shared" si="16"/>
        <v>2</v>
      </c>
      <c r="M75" s="50" t="s">
        <v>141</v>
      </c>
      <c r="N75" s="50">
        <f t="shared" si="17"/>
        <v>7.8</v>
      </c>
      <c r="O75" s="50" t="s">
        <v>141</v>
      </c>
    </row>
    <row r="76" spans="2:15" x14ac:dyDescent="0.25">
      <c r="B76" s="50">
        <v>10</v>
      </c>
      <c r="C76" s="50">
        <f t="shared" si="13"/>
        <v>8</v>
      </c>
      <c r="D76" s="50"/>
      <c r="E76" s="50">
        <f t="shared" si="15"/>
        <v>5.7749999999999995</v>
      </c>
      <c r="F76" s="47"/>
      <c r="L76" s="50">
        <f t="shared" si="16"/>
        <v>3</v>
      </c>
      <c r="M76" s="50" t="s">
        <v>141</v>
      </c>
      <c r="N76" s="50">
        <f t="shared" si="17"/>
        <v>10.7</v>
      </c>
      <c r="O76" s="50"/>
    </row>
    <row r="77" spans="2:15" x14ac:dyDescent="0.25">
      <c r="B77" s="47">
        <v>11</v>
      </c>
      <c r="C77" s="47">
        <f t="shared" si="13"/>
        <v>7</v>
      </c>
      <c r="D77" s="47"/>
      <c r="E77" s="50">
        <f t="shared" si="15"/>
        <v>6.7899999999999991</v>
      </c>
      <c r="F77" s="47"/>
      <c r="L77" s="50">
        <f t="shared" si="16"/>
        <v>4</v>
      </c>
      <c r="M77" s="47" t="s">
        <v>141</v>
      </c>
      <c r="N77" s="50">
        <f t="shared" si="17"/>
        <v>13.6</v>
      </c>
      <c r="O77" s="47"/>
    </row>
    <row r="78" spans="2:15" x14ac:dyDescent="0.25">
      <c r="B78" s="47">
        <v>12</v>
      </c>
      <c r="C78" s="47">
        <f t="shared" si="13"/>
        <v>6</v>
      </c>
      <c r="D78" s="47"/>
      <c r="E78" s="50">
        <f t="shared" si="15"/>
        <v>7.8049999999999997</v>
      </c>
      <c r="F78" s="47"/>
      <c r="L78" s="48">
        <f t="shared" si="16"/>
        <v>5</v>
      </c>
      <c r="M78" s="47" t="s">
        <v>141</v>
      </c>
      <c r="N78" s="48">
        <f t="shared" si="17"/>
        <v>16.5</v>
      </c>
      <c r="O78" s="47"/>
    </row>
    <row r="79" spans="2:15" x14ac:dyDescent="0.25">
      <c r="B79" s="47">
        <v>13</v>
      </c>
      <c r="C79" s="47">
        <f t="shared" si="13"/>
        <v>5</v>
      </c>
      <c r="D79" s="47"/>
      <c r="E79" s="50">
        <f t="shared" si="15"/>
        <v>8.8199999999999985</v>
      </c>
      <c r="F79" s="47"/>
      <c r="L79" s="50">
        <f t="shared" si="16"/>
        <v>6</v>
      </c>
      <c r="M79" s="47" t="s">
        <v>141</v>
      </c>
      <c r="N79" s="50">
        <f t="shared" si="17"/>
        <v>19.399999999999999</v>
      </c>
      <c r="O79" s="47"/>
    </row>
    <row r="80" spans="2:15" x14ac:dyDescent="0.25">
      <c r="B80" s="47">
        <v>14</v>
      </c>
      <c r="C80" s="47">
        <f t="shared" si="13"/>
        <v>4</v>
      </c>
      <c r="D80" s="47"/>
      <c r="E80" s="50">
        <f t="shared" si="15"/>
        <v>9.8349999999999991</v>
      </c>
      <c r="F80" s="47"/>
      <c r="L80" s="50">
        <f t="shared" si="16"/>
        <v>7</v>
      </c>
      <c r="M80" s="47" t="s">
        <v>141</v>
      </c>
      <c r="N80" s="50">
        <f t="shared" si="17"/>
        <v>22.3</v>
      </c>
      <c r="O80" s="47"/>
    </row>
    <row r="81" spans="1:15" x14ac:dyDescent="0.25">
      <c r="B81" s="47">
        <v>15</v>
      </c>
      <c r="C81" s="47">
        <f t="shared" si="13"/>
        <v>3</v>
      </c>
      <c r="D81" s="47"/>
      <c r="E81" s="50">
        <f t="shared" si="15"/>
        <v>10.85</v>
      </c>
      <c r="F81" s="47"/>
      <c r="L81" s="50">
        <f t="shared" si="16"/>
        <v>8</v>
      </c>
      <c r="M81" s="47" t="s">
        <v>141</v>
      </c>
      <c r="N81" s="50">
        <f t="shared" si="17"/>
        <v>25.2</v>
      </c>
      <c r="O81" s="47"/>
    </row>
    <row r="82" spans="1:15" x14ac:dyDescent="0.25">
      <c r="B82" s="47">
        <v>16</v>
      </c>
      <c r="C82" s="47">
        <f t="shared" si="13"/>
        <v>2</v>
      </c>
      <c r="D82" s="47"/>
      <c r="L82" s="50">
        <f t="shared" si="16"/>
        <v>9</v>
      </c>
      <c r="M82" s="47" t="s">
        <v>142</v>
      </c>
      <c r="N82" s="50">
        <f t="shared" si="17"/>
        <v>28.099999999999998</v>
      </c>
      <c r="O82" s="47"/>
    </row>
    <row r="83" spans="1:15" x14ac:dyDescent="0.25">
      <c r="B83" s="47">
        <v>17</v>
      </c>
      <c r="C83" s="47">
        <f t="shared" si="13"/>
        <v>1</v>
      </c>
      <c r="D83" s="47"/>
      <c r="L83" s="50">
        <f t="shared" si="16"/>
        <v>10</v>
      </c>
      <c r="M83" s="47" t="s">
        <v>141</v>
      </c>
      <c r="N83" s="50">
        <f t="shared" si="17"/>
        <v>31</v>
      </c>
      <c r="O83" s="47"/>
    </row>
    <row r="86" spans="1:15" x14ac:dyDescent="0.25">
      <c r="A86" s="1" t="s">
        <v>145</v>
      </c>
      <c r="B86" s="1"/>
      <c r="C86" s="1"/>
      <c r="D86" s="1"/>
    </row>
    <row r="87" spans="1:15" x14ac:dyDescent="0.25">
      <c r="B87" t="s">
        <v>124</v>
      </c>
      <c r="C87" s="47">
        <v>18</v>
      </c>
      <c r="M87" t="s">
        <v>125</v>
      </c>
      <c r="N87" s="47">
        <v>0.7</v>
      </c>
    </row>
    <row r="88" spans="1:15" x14ac:dyDescent="0.25">
      <c r="B88" t="s">
        <v>126</v>
      </c>
      <c r="C88" s="47">
        <v>1</v>
      </c>
      <c r="M88" t="s">
        <v>127</v>
      </c>
      <c r="N88" s="47">
        <v>17.5</v>
      </c>
    </row>
    <row r="89" spans="1:15" x14ac:dyDescent="0.25">
      <c r="B89" t="s">
        <v>128</v>
      </c>
      <c r="C89" s="47">
        <v>18</v>
      </c>
      <c r="M89" t="s">
        <v>129</v>
      </c>
      <c r="N89" s="47">
        <v>1.43</v>
      </c>
    </row>
    <row r="90" spans="1:15" x14ac:dyDescent="0.25">
      <c r="B90" t="s">
        <v>130</v>
      </c>
      <c r="C90" s="47">
        <v>2</v>
      </c>
    </row>
    <row r="91" spans="1:15" x14ac:dyDescent="0.25">
      <c r="B91" t="s">
        <v>131</v>
      </c>
      <c r="C91" s="47">
        <v>7</v>
      </c>
    </row>
    <row r="92" spans="1:15" x14ac:dyDescent="0.25">
      <c r="B92" t="s">
        <v>132</v>
      </c>
      <c r="C92" s="47">
        <v>7</v>
      </c>
      <c r="E92" s="47" t="s">
        <v>135</v>
      </c>
      <c r="F92" s="47" t="s">
        <v>136</v>
      </c>
    </row>
    <row r="93" spans="1:15" x14ac:dyDescent="0.25">
      <c r="E93" s="47"/>
      <c r="F93" s="47"/>
    </row>
    <row r="94" spans="1:15" x14ac:dyDescent="0.25">
      <c r="B94" s="47" t="s">
        <v>19</v>
      </c>
      <c r="C94" s="47" t="s">
        <v>133</v>
      </c>
      <c r="D94" s="47" t="s">
        <v>134</v>
      </c>
      <c r="E94" s="47"/>
      <c r="F94" s="47"/>
      <c r="G94" s="47"/>
      <c r="H94" s="47"/>
      <c r="I94" s="47"/>
      <c r="J94" s="47"/>
      <c r="K94" s="47"/>
      <c r="L94" s="47" t="s">
        <v>137</v>
      </c>
      <c r="M94" s="47" t="s">
        <v>138</v>
      </c>
      <c r="N94" s="47" t="s">
        <v>139</v>
      </c>
      <c r="O94" s="47" t="s">
        <v>140</v>
      </c>
    </row>
    <row r="95" spans="1:15" x14ac:dyDescent="0.25">
      <c r="B95" s="47">
        <v>1</v>
      </c>
      <c r="C95" s="47">
        <f>+$C$3-$C$4*B95</f>
        <v>17</v>
      </c>
      <c r="D95" s="47">
        <f>+$C$5-$C$6*B95</f>
        <v>16</v>
      </c>
      <c r="E95" s="50" t="s">
        <v>141</v>
      </c>
      <c r="F95" s="50"/>
    </row>
    <row r="96" spans="1:15" x14ac:dyDescent="0.25">
      <c r="B96" s="47">
        <v>2</v>
      </c>
      <c r="C96" s="47">
        <f t="shared" ref="C96:C111" si="18">+$C$3-$C$4*B96</f>
        <v>16</v>
      </c>
      <c r="D96" s="47">
        <f t="shared" ref="D96:D102" si="19">+$C$5-$C$6*B96</f>
        <v>14</v>
      </c>
      <c r="E96" s="50" t="s">
        <v>141</v>
      </c>
      <c r="F96" s="50" t="s">
        <v>141</v>
      </c>
      <c r="L96" s="47"/>
      <c r="M96" s="47"/>
      <c r="N96" s="47"/>
      <c r="O96" s="47"/>
    </row>
    <row r="97" spans="1:15" x14ac:dyDescent="0.25">
      <c r="B97" s="50">
        <v>3</v>
      </c>
      <c r="C97" s="50">
        <f t="shared" si="18"/>
        <v>15</v>
      </c>
      <c r="D97" s="50">
        <f t="shared" si="19"/>
        <v>12</v>
      </c>
      <c r="E97" s="50" t="s">
        <v>141</v>
      </c>
      <c r="F97" s="50" t="s">
        <v>141</v>
      </c>
      <c r="L97" s="47" t="s">
        <v>141</v>
      </c>
      <c r="M97" s="47"/>
      <c r="N97" s="47"/>
      <c r="O97" s="47"/>
    </row>
    <row r="98" spans="1:15" x14ac:dyDescent="0.25">
      <c r="B98" s="50">
        <v>4</v>
      </c>
      <c r="C98" s="50">
        <f t="shared" si="18"/>
        <v>14</v>
      </c>
      <c r="D98" s="50">
        <f t="shared" si="19"/>
        <v>10</v>
      </c>
      <c r="E98" s="50" t="s">
        <v>141</v>
      </c>
      <c r="F98" s="50" t="s">
        <v>141</v>
      </c>
      <c r="L98" s="47" t="s">
        <v>141</v>
      </c>
      <c r="M98" s="47" t="s">
        <v>141</v>
      </c>
      <c r="N98" s="47"/>
      <c r="O98" s="47"/>
    </row>
    <row r="99" spans="1:15" x14ac:dyDescent="0.25">
      <c r="B99" s="50">
        <v>5</v>
      </c>
      <c r="C99" s="50">
        <f t="shared" si="18"/>
        <v>13</v>
      </c>
      <c r="D99" s="50">
        <f t="shared" si="19"/>
        <v>8</v>
      </c>
      <c r="E99" s="49">
        <f>+$N$87*N101</f>
        <v>12.25</v>
      </c>
      <c r="F99" s="49">
        <f>+$N$87*O101</f>
        <v>12.25</v>
      </c>
      <c r="L99" s="47" t="s">
        <v>141</v>
      </c>
      <c r="M99" s="47" t="s">
        <v>141</v>
      </c>
      <c r="N99" s="47"/>
      <c r="O99" s="47"/>
    </row>
    <row r="100" spans="1:15" x14ac:dyDescent="0.25">
      <c r="B100" s="50">
        <v>6</v>
      </c>
      <c r="C100" s="50">
        <f t="shared" si="18"/>
        <v>12</v>
      </c>
      <c r="D100" s="50">
        <f t="shared" si="19"/>
        <v>6</v>
      </c>
      <c r="E100" s="50">
        <f t="shared" ref="E100:E109" si="20">+$N$87*N102</f>
        <v>13.250999999999999</v>
      </c>
      <c r="F100" s="50">
        <f>+$N$87*O102</f>
        <v>13.250999999999999</v>
      </c>
      <c r="L100" s="47" t="s">
        <v>141</v>
      </c>
      <c r="M100" s="47" t="s">
        <v>141</v>
      </c>
      <c r="N100" s="47"/>
      <c r="O100" s="47"/>
    </row>
    <row r="101" spans="1:15" x14ac:dyDescent="0.25">
      <c r="A101" s="51"/>
      <c r="B101" s="49">
        <v>7</v>
      </c>
      <c r="C101" s="49">
        <f t="shared" si="18"/>
        <v>11</v>
      </c>
      <c r="D101" s="49">
        <f t="shared" si="19"/>
        <v>4</v>
      </c>
      <c r="E101" s="50">
        <f t="shared" si="20"/>
        <v>14.251999999999999</v>
      </c>
      <c r="F101" s="50"/>
      <c r="G101" s="51"/>
      <c r="H101" s="51"/>
      <c r="I101" s="51"/>
      <c r="J101" s="51"/>
      <c r="K101" s="51"/>
      <c r="L101" s="49">
        <f>+B101-$C$63</f>
        <v>0</v>
      </c>
      <c r="M101" s="49">
        <f>+B101-$C$64</f>
        <v>0</v>
      </c>
      <c r="N101" s="49">
        <f>+($N$88+$N$89*(B101-$C$63))</f>
        <v>17.5</v>
      </c>
      <c r="O101" s="49">
        <f>+($N$88+$N$89*(B101-$C$64))</f>
        <v>17.5</v>
      </c>
    </row>
    <row r="102" spans="1:15" x14ac:dyDescent="0.25">
      <c r="B102" s="50">
        <v>8</v>
      </c>
      <c r="C102" s="50">
        <f t="shared" si="18"/>
        <v>10</v>
      </c>
      <c r="D102" s="50">
        <f t="shared" si="19"/>
        <v>2</v>
      </c>
      <c r="E102" s="50">
        <f t="shared" si="20"/>
        <v>15.252999999999998</v>
      </c>
      <c r="F102" s="50"/>
      <c r="G102" s="52"/>
      <c r="H102" s="52"/>
      <c r="I102" s="52"/>
      <c r="J102" s="52"/>
      <c r="K102" s="52"/>
      <c r="L102" s="50">
        <f t="shared" ref="L102:L111" si="21">+B102-$C$63</f>
        <v>1</v>
      </c>
      <c r="M102" s="50">
        <f>+B102-$C$64</f>
        <v>1</v>
      </c>
      <c r="N102" s="50">
        <f t="shared" ref="N102:N111" si="22">+($N$88+$N$89*(B102-$C$63))</f>
        <v>18.93</v>
      </c>
      <c r="O102" s="50">
        <f>+($N$88+$N$89*(B102-$C$64))</f>
        <v>18.93</v>
      </c>
    </row>
    <row r="103" spans="1:15" x14ac:dyDescent="0.25">
      <c r="B103" s="50">
        <v>9</v>
      </c>
      <c r="C103" s="50">
        <f t="shared" si="18"/>
        <v>9</v>
      </c>
      <c r="D103" s="50" t="s">
        <v>141</v>
      </c>
      <c r="E103" s="50">
        <f t="shared" si="20"/>
        <v>16.253999999999998</v>
      </c>
      <c r="F103" s="50"/>
      <c r="G103" s="52"/>
      <c r="H103" s="52"/>
      <c r="I103" s="52"/>
      <c r="J103" s="52"/>
      <c r="K103" s="52"/>
      <c r="L103" s="50">
        <f t="shared" si="21"/>
        <v>2</v>
      </c>
      <c r="M103" s="50" t="s">
        <v>141</v>
      </c>
      <c r="N103" s="50">
        <f t="shared" si="22"/>
        <v>20.36</v>
      </c>
      <c r="O103" s="50" t="s">
        <v>141</v>
      </c>
    </row>
    <row r="104" spans="1:15" x14ac:dyDescent="0.25">
      <c r="B104" s="50">
        <v>10</v>
      </c>
      <c r="C104" s="50">
        <f t="shared" si="18"/>
        <v>8</v>
      </c>
      <c r="D104" s="50"/>
      <c r="E104" s="50">
        <f t="shared" si="20"/>
        <v>17.254999999999999</v>
      </c>
      <c r="F104" s="50"/>
      <c r="G104" s="52"/>
      <c r="H104" s="52"/>
      <c r="I104" s="52"/>
      <c r="J104" s="52"/>
      <c r="K104" s="52"/>
      <c r="L104" s="50">
        <f t="shared" si="21"/>
        <v>3</v>
      </c>
      <c r="M104" s="50" t="s">
        <v>141</v>
      </c>
      <c r="N104" s="50">
        <f t="shared" si="22"/>
        <v>21.79</v>
      </c>
      <c r="O104" s="50"/>
    </row>
    <row r="105" spans="1:15" x14ac:dyDescent="0.25">
      <c r="B105" s="50">
        <v>11</v>
      </c>
      <c r="C105" s="50">
        <f t="shared" si="18"/>
        <v>7</v>
      </c>
      <c r="D105" s="50"/>
      <c r="E105" s="50">
        <f t="shared" si="20"/>
        <v>18.255999999999997</v>
      </c>
      <c r="F105" s="47"/>
      <c r="G105" s="52"/>
      <c r="H105" s="52"/>
      <c r="I105" s="52"/>
      <c r="J105" s="52"/>
      <c r="K105" s="52"/>
      <c r="L105" s="50">
        <f t="shared" si="21"/>
        <v>4</v>
      </c>
      <c r="M105" s="50" t="s">
        <v>141</v>
      </c>
      <c r="N105" s="50">
        <f t="shared" si="22"/>
        <v>23.22</v>
      </c>
      <c r="O105" s="50"/>
    </row>
    <row r="106" spans="1:15" x14ac:dyDescent="0.25">
      <c r="B106" s="50">
        <v>12</v>
      </c>
      <c r="C106" s="50">
        <f t="shared" si="18"/>
        <v>6</v>
      </c>
      <c r="D106" s="50"/>
      <c r="E106" s="50">
        <f t="shared" si="20"/>
        <v>19.256999999999998</v>
      </c>
      <c r="F106" s="47"/>
      <c r="G106" s="52"/>
      <c r="H106" s="52"/>
      <c r="I106" s="52"/>
      <c r="J106" s="52"/>
      <c r="K106" s="52"/>
      <c r="L106" s="50">
        <f t="shared" si="21"/>
        <v>5</v>
      </c>
      <c r="M106" s="50" t="s">
        <v>141</v>
      </c>
      <c r="N106" s="50">
        <f t="shared" si="22"/>
        <v>24.65</v>
      </c>
      <c r="O106" s="50"/>
    </row>
    <row r="107" spans="1:15" x14ac:dyDescent="0.25">
      <c r="B107" s="47">
        <v>13</v>
      </c>
      <c r="C107" s="47">
        <f t="shared" si="18"/>
        <v>5</v>
      </c>
      <c r="D107" s="47"/>
      <c r="E107" s="50">
        <f t="shared" si="20"/>
        <v>20.257999999999996</v>
      </c>
      <c r="F107" s="47"/>
      <c r="L107" s="50">
        <f t="shared" si="21"/>
        <v>6</v>
      </c>
      <c r="M107" s="47" t="s">
        <v>141</v>
      </c>
      <c r="N107" s="50">
        <f t="shared" si="22"/>
        <v>26.08</v>
      </c>
      <c r="O107" s="47"/>
    </row>
    <row r="108" spans="1:15" x14ac:dyDescent="0.25">
      <c r="B108" s="47">
        <v>14</v>
      </c>
      <c r="C108" s="47">
        <f t="shared" si="18"/>
        <v>4</v>
      </c>
      <c r="D108" s="47"/>
      <c r="E108" s="50">
        <f t="shared" si="20"/>
        <v>21.258999999999997</v>
      </c>
      <c r="F108" s="47"/>
      <c r="L108" s="50">
        <f t="shared" si="21"/>
        <v>7</v>
      </c>
      <c r="M108" s="47" t="s">
        <v>141</v>
      </c>
      <c r="N108" s="50">
        <f t="shared" si="22"/>
        <v>27.509999999999998</v>
      </c>
      <c r="O108" s="47"/>
    </row>
    <row r="109" spans="1:15" x14ac:dyDescent="0.25">
      <c r="B109" s="47">
        <v>15</v>
      </c>
      <c r="C109" s="47">
        <f t="shared" si="18"/>
        <v>3</v>
      </c>
      <c r="D109" s="47"/>
      <c r="E109" s="50">
        <f t="shared" si="20"/>
        <v>22.259999999999998</v>
      </c>
      <c r="F109" s="47"/>
      <c r="L109" s="50">
        <f t="shared" si="21"/>
        <v>8</v>
      </c>
      <c r="M109" s="47" t="s">
        <v>141</v>
      </c>
      <c r="N109" s="50">
        <f t="shared" si="22"/>
        <v>28.939999999999998</v>
      </c>
      <c r="O109" s="47"/>
    </row>
    <row r="110" spans="1:15" x14ac:dyDescent="0.25">
      <c r="B110" s="47">
        <v>16</v>
      </c>
      <c r="C110" s="47">
        <f t="shared" si="18"/>
        <v>2</v>
      </c>
      <c r="D110" s="47"/>
      <c r="L110" s="50">
        <f t="shared" si="21"/>
        <v>9</v>
      </c>
      <c r="M110" s="47" t="s">
        <v>142</v>
      </c>
      <c r="N110" s="50">
        <f t="shared" si="22"/>
        <v>30.369999999999997</v>
      </c>
      <c r="O110" s="47"/>
    </row>
    <row r="111" spans="1:15" x14ac:dyDescent="0.25">
      <c r="B111" s="47">
        <v>17</v>
      </c>
      <c r="C111" s="47">
        <f t="shared" si="18"/>
        <v>1</v>
      </c>
      <c r="D111" s="47"/>
      <c r="L111" s="50">
        <f t="shared" si="21"/>
        <v>10</v>
      </c>
      <c r="M111" s="47" t="s">
        <v>141</v>
      </c>
      <c r="N111" s="50">
        <f t="shared" si="22"/>
        <v>31.799999999999997</v>
      </c>
      <c r="O111" s="4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1"/>
  <sheetViews>
    <sheetView workbookViewId="0">
      <selection activeCell="P4" sqref="P4"/>
    </sheetView>
  </sheetViews>
  <sheetFormatPr baseColWidth="10" defaultColWidth="9.140625" defaultRowHeight="15" x14ac:dyDescent="0.25"/>
  <cols>
    <col min="13" max="13" width="7.42578125" bestFit="1" customWidth="1"/>
    <col min="14" max="15" width="6" bestFit="1" customWidth="1"/>
    <col min="16" max="16" width="5" bestFit="1" customWidth="1"/>
  </cols>
  <sheetData>
    <row r="2" spans="1:16" x14ac:dyDescent="0.25">
      <c r="A2" s="1" t="s">
        <v>123</v>
      </c>
      <c r="B2" s="1"/>
      <c r="C2" s="1"/>
      <c r="D2" s="1"/>
    </row>
    <row r="3" spans="1:16" x14ac:dyDescent="0.25">
      <c r="B3" t="s">
        <v>124</v>
      </c>
      <c r="C3" s="59">
        <v>18</v>
      </c>
      <c r="D3" t="s">
        <v>146</v>
      </c>
      <c r="M3" s="13" t="s">
        <v>170</v>
      </c>
      <c r="N3" s="57">
        <v>0.55000000000000004</v>
      </c>
      <c r="O3" s="13" t="s">
        <v>171</v>
      </c>
      <c r="P3" s="13">
        <f>1/3</f>
        <v>0.33333333333333331</v>
      </c>
    </row>
    <row r="4" spans="1:16" x14ac:dyDescent="0.25">
      <c r="B4" t="s">
        <v>126</v>
      </c>
      <c r="C4" s="59">
        <v>1</v>
      </c>
      <c r="D4" t="s">
        <v>147</v>
      </c>
      <c r="M4" s="13" t="s">
        <v>179</v>
      </c>
      <c r="N4" s="57">
        <f>'7) STD-f''creciente-VIOL'!N4+'7) STD-f''creciente-VIOL'!N5*'7) STD-f''creciente-VIOL'!M12</f>
        <v>25.86</v>
      </c>
      <c r="O4" t="s">
        <v>178</v>
      </c>
      <c r="P4">
        <f>'7) STD-f''creciente-VIOL'!N4+'7) STD-f''creciente-VIOL'!N5*'7) STD-f''creciente-VIOL'!M12</f>
        <v>25.86</v>
      </c>
    </row>
    <row r="5" spans="1:16" x14ac:dyDescent="0.25">
      <c r="B5" t="s">
        <v>128</v>
      </c>
      <c r="C5" s="59">
        <v>18</v>
      </c>
      <c r="M5" s="13" t="s">
        <v>129</v>
      </c>
      <c r="N5" s="57">
        <v>0</v>
      </c>
    </row>
    <row r="6" spans="1:16" x14ac:dyDescent="0.25">
      <c r="B6" t="s">
        <v>130</v>
      </c>
      <c r="C6" s="59">
        <v>2</v>
      </c>
    </row>
    <row r="7" spans="1:16" x14ac:dyDescent="0.25">
      <c r="B7" s="8" t="s">
        <v>150</v>
      </c>
      <c r="C7" s="62">
        <v>1</v>
      </c>
      <c r="D7" t="s">
        <v>148</v>
      </c>
    </row>
    <row r="8" spans="1:16" x14ac:dyDescent="0.25">
      <c r="B8" s="8" t="s">
        <v>151</v>
      </c>
      <c r="C8" s="62">
        <v>2</v>
      </c>
      <c r="D8" t="s">
        <v>149</v>
      </c>
    </row>
    <row r="10" spans="1:16" x14ac:dyDescent="0.25">
      <c r="B10" t="s">
        <v>19</v>
      </c>
      <c r="C10" t="s">
        <v>133</v>
      </c>
      <c r="D10" t="s">
        <v>134</v>
      </c>
      <c r="E10" t="s">
        <v>135</v>
      </c>
      <c r="F10" t="s">
        <v>136</v>
      </c>
      <c r="M10" t="s">
        <v>69</v>
      </c>
      <c r="N10" t="s">
        <v>174</v>
      </c>
    </row>
    <row r="11" spans="1:16" x14ac:dyDescent="0.25">
      <c r="A11" s="53" t="s">
        <v>150</v>
      </c>
      <c r="B11" s="49">
        <v>1</v>
      </c>
      <c r="C11" s="59">
        <f>+$C$3-$C$4*B11</f>
        <v>17</v>
      </c>
      <c r="D11" s="59">
        <f>+$C$5-$C$6*B11</f>
        <v>16</v>
      </c>
      <c r="E11" s="59"/>
      <c r="F11" s="59"/>
      <c r="M11" s="59">
        <v>1</v>
      </c>
      <c r="N11" s="59">
        <f>+($N$4+$N$5*(M11))</f>
        <v>25.86</v>
      </c>
    </row>
    <row r="12" spans="1:16" x14ac:dyDescent="0.25">
      <c r="A12" s="60" t="s">
        <v>151</v>
      </c>
      <c r="B12" s="67">
        <v>2</v>
      </c>
      <c r="C12" s="58">
        <f t="shared" ref="C12:C27" si="0">+$C$3-$C$4*B12</f>
        <v>16</v>
      </c>
      <c r="D12" s="59">
        <f t="shared" ref="D12:D18" si="1">+$C$5-$C$6*B12</f>
        <v>14</v>
      </c>
      <c r="E12" s="58">
        <f>+$N$3*N11</f>
        <v>14.223000000000001</v>
      </c>
      <c r="F12" s="59"/>
      <c r="L12" s="59"/>
      <c r="M12" s="59">
        <v>2</v>
      </c>
      <c r="N12" s="59">
        <f t="shared" ref="N12:N27" si="2">+($N$4+$N$5*(M12))</f>
        <v>25.86</v>
      </c>
      <c r="O12" s="59"/>
    </row>
    <row r="13" spans="1:16" x14ac:dyDescent="0.25">
      <c r="A13" s="53" t="s">
        <v>75</v>
      </c>
      <c r="B13" s="55">
        <v>3</v>
      </c>
      <c r="C13" s="49">
        <f t="shared" si="0"/>
        <v>15</v>
      </c>
      <c r="D13" s="58">
        <f t="shared" si="1"/>
        <v>12</v>
      </c>
      <c r="E13" s="58">
        <f t="shared" ref="E13:E25" si="3">+$N$3*N12</f>
        <v>14.223000000000001</v>
      </c>
      <c r="F13" s="58">
        <f>$P$3*N11</f>
        <v>8.6199999999999992</v>
      </c>
      <c r="G13" s="59"/>
      <c r="L13" s="59"/>
      <c r="M13" s="59">
        <v>3</v>
      </c>
      <c r="N13" s="59">
        <f t="shared" si="2"/>
        <v>25.86</v>
      </c>
      <c r="O13" s="59"/>
    </row>
    <row r="14" spans="1:16" x14ac:dyDescent="0.25">
      <c r="A14" s="53" t="s">
        <v>1</v>
      </c>
      <c r="B14" s="65">
        <v>4</v>
      </c>
      <c r="C14" s="58">
        <f t="shared" si="0"/>
        <v>14</v>
      </c>
      <c r="D14" s="67">
        <f t="shared" si="1"/>
        <v>10</v>
      </c>
      <c r="E14" s="58">
        <f t="shared" si="3"/>
        <v>14.223000000000001</v>
      </c>
      <c r="F14" s="67">
        <f t="shared" ref="F14:F17" si="4">$P$3*N12</f>
        <v>8.6199999999999992</v>
      </c>
      <c r="G14" s="59"/>
      <c r="L14" s="59"/>
      <c r="M14" s="59">
        <v>4</v>
      </c>
      <c r="N14" s="59">
        <f t="shared" si="2"/>
        <v>25.86</v>
      </c>
      <c r="O14" s="59"/>
    </row>
    <row r="15" spans="1:16" x14ac:dyDescent="0.25">
      <c r="B15" s="59">
        <v>5</v>
      </c>
      <c r="C15" s="59">
        <f t="shared" si="0"/>
        <v>13</v>
      </c>
      <c r="D15" s="59">
        <f t="shared" si="1"/>
        <v>8</v>
      </c>
      <c r="E15" s="58">
        <f t="shared" si="3"/>
        <v>14.223000000000001</v>
      </c>
      <c r="F15" s="58">
        <f t="shared" si="4"/>
        <v>8.6199999999999992</v>
      </c>
      <c r="G15" s="59"/>
      <c r="L15" s="59"/>
      <c r="M15" s="59">
        <v>5</v>
      </c>
      <c r="N15" s="59">
        <f t="shared" si="2"/>
        <v>25.86</v>
      </c>
      <c r="O15" s="59"/>
    </row>
    <row r="16" spans="1:16" x14ac:dyDescent="0.25">
      <c r="B16" s="59">
        <v>6</v>
      </c>
      <c r="C16" s="59">
        <f t="shared" si="0"/>
        <v>12</v>
      </c>
      <c r="D16" s="59">
        <f t="shared" si="1"/>
        <v>6</v>
      </c>
      <c r="E16" s="58">
        <f t="shared" si="3"/>
        <v>14.223000000000001</v>
      </c>
      <c r="F16" s="58">
        <f t="shared" si="4"/>
        <v>8.6199999999999992</v>
      </c>
      <c r="G16" s="59"/>
      <c r="L16" s="59"/>
      <c r="M16" s="59">
        <v>6</v>
      </c>
      <c r="N16" s="59">
        <f t="shared" si="2"/>
        <v>25.86</v>
      </c>
      <c r="O16" s="59"/>
    </row>
    <row r="17" spans="1:15" x14ac:dyDescent="0.25">
      <c r="B17" s="58">
        <v>7</v>
      </c>
      <c r="C17" s="58">
        <f t="shared" si="0"/>
        <v>11</v>
      </c>
      <c r="D17" s="58">
        <f t="shared" si="1"/>
        <v>4</v>
      </c>
      <c r="E17" s="58">
        <f t="shared" si="3"/>
        <v>14.223000000000001</v>
      </c>
      <c r="F17" s="58">
        <f t="shared" si="4"/>
        <v>8.6199999999999992</v>
      </c>
      <c r="G17" s="59"/>
      <c r="L17" s="59"/>
      <c r="M17" s="59">
        <v>7</v>
      </c>
      <c r="N17" s="59">
        <f t="shared" si="2"/>
        <v>25.86</v>
      </c>
      <c r="O17" s="58"/>
    </row>
    <row r="18" spans="1:15" x14ac:dyDescent="0.25">
      <c r="B18" s="59">
        <v>8</v>
      </c>
      <c r="C18" s="59">
        <f t="shared" si="0"/>
        <v>10</v>
      </c>
      <c r="D18" s="59">
        <f t="shared" si="1"/>
        <v>2</v>
      </c>
      <c r="E18" s="58">
        <f t="shared" si="3"/>
        <v>14.223000000000001</v>
      </c>
      <c r="F18" s="59"/>
      <c r="G18" s="59"/>
      <c r="L18" s="59"/>
      <c r="M18" s="59">
        <v>8</v>
      </c>
      <c r="N18" s="59">
        <f t="shared" si="2"/>
        <v>25.86</v>
      </c>
      <c r="O18" s="59"/>
    </row>
    <row r="19" spans="1:15" x14ac:dyDescent="0.25">
      <c r="B19" s="59">
        <v>9</v>
      </c>
      <c r="C19" s="59">
        <f t="shared" si="0"/>
        <v>9</v>
      </c>
      <c r="D19" s="59" t="s">
        <v>141</v>
      </c>
      <c r="E19" s="58">
        <f t="shared" si="3"/>
        <v>14.223000000000001</v>
      </c>
      <c r="F19" s="59"/>
      <c r="G19" s="59"/>
      <c r="L19" s="59"/>
      <c r="M19" s="59">
        <v>9</v>
      </c>
      <c r="N19" s="59">
        <f t="shared" si="2"/>
        <v>25.86</v>
      </c>
      <c r="O19" s="59"/>
    </row>
    <row r="20" spans="1:15" x14ac:dyDescent="0.25">
      <c r="B20" s="58">
        <v>10</v>
      </c>
      <c r="C20" s="58">
        <f t="shared" si="0"/>
        <v>8</v>
      </c>
      <c r="D20" s="58"/>
      <c r="E20" s="58">
        <f t="shared" si="3"/>
        <v>14.223000000000001</v>
      </c>
      <c r="F20" s="59"/>
      <c r="G20" s="59"/>
      <c r="L20" s="58"/>
      <c r="M20" s="59">
        <v>10</v>
      </c>
      <c r="N20" s="59">
        <f t="shared" si="2"/>
        <v>25.86</v>
      </c>
      <c r="O20" s="59"/>
    </row>
    <row r="21" spans="1:15" x14ac:dyDescent="0.25">
      <c r="B21" s="59">
        <v>11</v>
      </c>
      <c r="C21" s="59">
        <f t="shared" si="0"/>
        <v>7</v>
      </c>
      <c r="D21" s="59"/>
      <c r="E21" s="58">
        <f t="shared" si="3"/>
        <v>14.223000000000001</v>
      </c>
      <c r="F21" s="59"/>
      <c r="G21" s="59"/>
      <c r="L21" s="59"/>
      <c r="M21" s="59">
        <v>11</v>
      </c>
      <c r="N21" s="59">
        <f t="shared" si="2"/>
        <v>25.86</v>
      </c>
      <c r="O21" s="59"/>
    </row>
    <row r="22" spans="1:15" x14ac:dyDescent="0.25">
      <c r="B22" s="59">
        <v>12</v>
      </c>
      <c r="C22" s="59">
        <f t="shared" si="0"/>
        <v>6</v>
      </c>
      <c r="D22" s="59"/>
      <c r="E22" s="58">
        <f t="shared" si="3"/>
        <v>14.223000000000001</v>
      </c>
      <c r="F22" s="59"/>
      <c r="G22" s="59"/>
      <c r="L22" s="59"/>
      <c r="M22" s="59">
        <v>12</v>
      </c>
      <c r="N22" s="59">
        <f t="shared" si="2"/>
        <v>25.86</v>
      </c>
      <c r="O22" s="59"/>
    </row>
    <row r="23" spans="1:15" x14ac:dyDescent="0.25">
      <c r="B23" s="59">
        <v>13</v>
      </c>
      <c r="C23" s="59">
        <f t="shared" si="0"/>
        <v>5</v>
      </c>
      <c r="D23" s="59"/>
      <c r="E23" s="58">
        <f t="shared" si="3"/>
        <v>14.223000000000001</v>
      </c>
      <c r="F23" s="59"/>
      <c r="G23" s="59"/>
      <c r="L23" s="59"/>
      <c r="M23" s="59">
        <v>13</v>
      </c>
      <c r="N23" s="59">
        <f t="shared" si="2"/>
        <v>25.86</v>
      </c>
      <c r="O23" s="59"/>
    </row>
    <row r="24" spans="1:15" x14ac:dyDescent="0.25">
      <c r="B24" s="59">
        <v>14</v>
      </c>
      <c r="C24" s="59">
        <f t="shared" si="0"/>
        <v>4</v>
      </c>
      <c r="D24" s="59"/>
      <c r="E24" s="58">
        <f t="shared" si="3"/>
        <v>14.223000000000001</v>
      </c>
      <c r="F24" s="59"/>
      <c r="G24" s="59"/>
      <c r="L24" s="59"/>
      <c r="M24" s="59">
        <v>14</v>
      </c>
      <c r="N24" s="59">
        <f t="shared" si="2"/>
        <v>25.86</v>
      </c>
      <c r="O24" s="59"/>
    </row>
    <row r="25" spans="1:15" x14ac:dyDescent="0.25">
      <c r="B25" s="59">
        <v>15</v>
      </c>
      <c r="C25" s="59">
        <f t="shared" si="0"/>
        <v>3</v>
      </c>
      <c r="D25" s="59"/>
      <c r="E25" s="58">
        <f t="shared" si="3"/>
        <v>14.223000000000001</v>
      </c>
      <c r="F25" s="59"/>
      <c r="G25" s="59"/>
      <c r="L25" s="59"/>
      <c r="M25" s="59">
        <v>15</v>
      </c>
      <c r="N25" s="59">
        <f t="shared" si="2"/>
        <v>25.86</v>
      </c>
      <c r="O25" s="59"/>
    </row>
    <row r="26" spans="1:15" x14ac:dyDescent="0.25">
      <c r="B26" s="59">
        <v>16</v>
      </c>
      <c r="C26" s="59">
        <f t="shared" si="0"/>
        <v>2</v>
      </c>
      <c r="D26" s="59"/>
      <c r="G26" s="59"/>
      <c r="L26" s="59"/>
      <c r="M26" s="59">
        <v>16</v>
      </c>
      <c r="N26" s="59">
        <f t="shared" si="2"/>
        <v>25.86</v>
      </c>
      <c r="O26" s="59"/>
    </row>
    <row r="27" spans="1:15" x14ac:dyDescent="0.25">
      <c r="B27" s="59">
        <v>17</v>
      </c>
      <c r="C27" s="59">
        <f t="shared" si="0"/>
        <v>1</v>
      </c>
      <c r="D27" s="59"/>
      <c r="L27" s="59"/>
      <c r="M27" s="59">
        <v>17</v>
      </c>
      <c r="N27" s="59">
        <f t="shared" si="2"/>
        <v>25.86</v>
      </c>
      <c r="O27" s="59"/>
    </row>
    <row r="28" spans="1:15" x14ac:dyDescent="0.25">
      <c r="B28" t="s">
        <v>141</v>
      </c>
      <c r="C28" t="s">
        <v>141</v>
      </c>
    </row>
    <row r="30" spans="1:15" x14ac:dyDescent="0.25">
      <c r="A30" s="1" t="s">
        <v>143</v>
      </c>
      <c r="B30" s="1"/>
      <c r="C30" s="1"/>
      <c r="D30" s="1"/>
    </row>
    <row r="31" spans="1:15" x14ac:dyDescent="0.25">
      <c r="B31" t="s">
        <v>124</v>
      </c>
      <c r="C31" s="59">
        <v>18</v>
      </c>
      <c r="M31" t="s">
        <v>125</v>
      </c>
      <c r="N31" s="59">
        <v>0.7</v>
      </c>
    </row>
    <row r="32" spans="1:15" x14ac:dyDescent="0.25">
      <c r="B32" t="s">
        <v>126</v>
      </c>
      <c r="C32" s="59">
        <v>1</v>
      </c>
      <c r="M32" t="s">
        <v>127</v>
      </c>
      <c r="N32" s="59">
        <v>17.5</v>
      </c>
    </row>
    <row r="33" spans="2:15" x14ac:dyDescent="0.25">
      <c r="B33" t="s">
        <v>128</v>
      </c>
      <c r="C33" s="59">
        <v>18</v>
      </c>
      <c r="M33" t="s">
        <v>129</v>
      </c>
      <c r="N33" s="59">
        <v>1.43</v>
      </c>
    </row>
    <row r="34" spans="2:15" x14ac:dyDescent="0.25">
      <c r="B34" t="s">
        <v>130</v>
      </c>
      <c r="C34" s="59">
        <v>2</v>
      </c>
    </row>
    <row r="35" spans="2:15" x14ac:dyDescent="0.25">
      <c r="B35" t="s">
        <v>131</v>
      </c>
      <c r="C35" s="59">
        <v>3</v>
      </c>
    </row>
    <row r="36" spans="2:15" x14ac:dyDescent="0.25">
      <c r="B36" t="s">
        <v>132</v>
      </c>
      <c r="C36" s="59">
        <v>4</v>
      </c>
      <c r="E36" t="s">
        <v>135</v>
      </c>
      <c r="F36" t="s">
        <v>136</v>
      </c>
    </row>
    <row r="37" spans="2:15" x14ac:dyDescent="0.25">
      <c r="E37" s="59"/>
      <c r="F37" s="59"/>
    </row>
    <row r="38" spans="2:15" x14ac:dyDescent="0.25">
      <c r="B38" t="s">
        <v>19</v>
      </c>
      <c r="C38" t="s">
        <v>133</v>
      </c>
      <c r="D38" t="s">
        <v>134</v>
      </c>
      <c r="E38" s="59"/>
      <c r="F38" s="59"/>
      <c r="L38" t="s">
        <v>137</v>
      </c>
      <c r="M38" t="s">
        <v>138</v>
      </c>
      <c r="N38" t="s">
        <v>139</v>
      </c>
      <c r="O38" t="s">
        <v>140</v>
      </c>
    </row>
    <row r="39" spans="2:15" x14ac:dyDescent="0.25">
      <c r="B39" s="59">
        <v>1</v>
      </c>
      <c r="C39" s="59">
        <f>+$C$3-$C$4*B39</f>
        <v>17</v>
      </c>
      <c r="D39" s="59">
        <f>+$C$5-$C$6*B39</f>
        <v>16</v>
      </c>
      <c r="E39" s="59">
        <f t="shared" ref="E39:E53" si="5">+$N$31*N41</f>
        <v>14.251999999999999</v>
      </c>
      <c r="F39" s="59"/>
    </row>
    <row r="40" spans="2:15" x14ac:dyDescent="0.25">
      <c r="B40" s="59">
        <v>2</v>
      </c>
      <c r="C40" s="59">
        <f t="shared" ref="C40:C55" si="6">+$C$3-$C$4*B40</f>
        <v>16</v>
      </c>
      <c r="D40" s="59">
        <f t="shared" ref="D40:D46" si="7">+$C$5-$C$6*B40</f>
        <v>14</v>
      </c>
      <c r="E40" s="48">
        <f t="shared" si="5"/>
        <v>15.252999999999998</v>
      </c>
      <c r="F40" s="59">
        <f>+$N$31*O42</f>
        <v>14.251999999999999</v>
      </c>
      <c r="L40" s="59"/>
      <c r="M40" s="59"/>
      <c r="N40" s="59"/>
      <c r="O40" s="59"/>
    </row>
    <row r="41" spans="2:15" x14ac:dyDescent="0.25">
      <c r="B41" s="48">
        <v>3</v>
      </c>
      <c r="C41" s="48">
        <f t="shared" si="6"/>
        <v>15</v>
      </c>
      <c r="D41" s="59">
        <f t="shared" si="7"/>
        <v>12</v>
      </c>
      <c r="E41" s="59">
        <f t="shared" si="5"/>
        <v>16.253999999999998</v>
      </c>
      <c r="F41" s="59">
        <f t="shared" ref="F41:F44" si="8">+$N$31*O43</f>
        <v>15.252999999999998</v>
      </c>
      <c r="L41" s="50">
        <f>+B41-$C$7</f>
        <v>2</v>
      </c>
      <c r="M41" s="59"/>
      <c r="N41" s="50">
        <f>+($N$32+$N$33*(B41-$C$7))</f>
        <v>20.36</v>
      </c>
      <c r="O41" s="59"/>
    </row>
    <row r="42" spans="2:15" x14ac:dyDescent="0.25">
      <c r="B42" s="49">
        <v>4</v>
      </c>
      <c r="C42" s="48">
        <f t="shared" si="6"/>
        <v>14</v>
      </c>
      <c r="D42" s="49">
        <f t="shared" si="7"/>
        <v>10</v>
      </c>
      <c r="E42" s="59">
        <f t="shared" si="5"/>
        <v>17.254999999999999</v>
      </c>
      <c r="F42" s="59">
        <f t="shared" si="8"/>
        <v>16.253999999999998</v>
      </c>
      <c r="L42" s="48">
        <f t="shared" ref="L42:L55" si="9">+B42-$C$7</f>
        <v>3</v>
      </c>
      <c r="M42" s="49">
        <f>+B42-$C$8</f>
        <v>2</v>
      </c>
      <c r="N42" s="48">
        <f t="shared" ref="N42:N55" si="10">+($N$32+$N$33*(B42-$C$7))</f>
        <v>21.79</v>
      </c>
      <c r="O42" s="49">
        <f>+($N$32+$N$33*(B42-$C$8))</f>
        <v>20.36</v>
      </c>
    </row>
    <row r="43" spans="2:15" x14ac:dyDescent="0.25">
      <c r="B43" s="59">
        <v>5</v>
      </c>
      <c r="C43" s="59">
        <f t="shared" si="6"/>
        <v>13</v>
      </c>
      <c r="D43" s="59">
        <f t="shared" si="7"/>
        <v>8</v>
      </c>
      <c r="E43" s="59">
        <f t="shared" si="5"/>
        <v>18.255999999999997</v>
      </c>
      <c r="F43" s="59">
        <f t="shared" si="8"/>
        <v>17.254999999999999</v>
      </c>
      <c r="L43" s="59">
        <f t="shared" si="9"/>
        <v>4</v>
      </c>
      <c r="M43" s="59">
        <f t="shared" ref="M43:M46" si="11">+B43-$C$8</f>
        <v>3</v>
      </c>
      <c r="N43" s="59">
        <f t="shared" si="10"/>
        <v>23.22</v>
      </c>
      <c r="O43" s="59">
        <f t="shared" ref="O43:O46" si="12">+($N$32+$N$33*(B43-$C$8))</f>
        <v>21.79</v>
      </c>
    </row>
    <row r="44" spans="2:15" x14ac:dyDescent="0.25">
      <c r="B44" s="59">
        <v>6</v>
      </c>
      <c r="C44" s="59">
        <f t="shared" si="6"/>
        <v>12</v>
      </c>
      <c r="D44" s="59">
        <f t="shared" si="7"/>
        <v>6</v>
      </c>
      <c r="E44" s="59">
        <f t="shared" si="5"/>
        <v>19.256999999999998</v>
      </c>
      <c r="F44" s="59">
        <f t="shared" si="8"/>
        <v>18.255999999999997</v>
      </c>
      <c r="L44" s="59">
        <f t="shared" si="9"/>
        <v>5</v>
      </c>
      <c r="M44" s="59">
        <f t="shared" si="11"/>
        <v>4</v>
      </c>
      <c r="N44" s="59">
        <f t="shared" si="10"/>
        <v>24.65</v>
      </c>
      <c r="O44" s="59">
        <f t="shared" si="12"/>
        <v>23.22</v>
      </c>
    </row>
    <row r="45" spans="2:15" x14ac:dyDescent="0.25">
      <c r="B45" s="50">
        <v>7</v>
      </c>
      <c r="C45" s="59">
        <f t="shared" si="6"/>
        <v>11</v>
      </c>
      <c r="D45" s="50">
        <f t="shared" si="7"/>
        <v>4</v>
      </c>
      <c r="E45" s="59">
        <f t="shared" si="5"/>
        <v>20.257999999999996</v>
      </c>
      <c r="F45" s="59"/>
      <c r="L45" s="59">
        <f t="shared" si="9"/>
        <v>6</v>
      </c>
      <c r="M45" s="50">
        <f t="shared" si="11"/>
        <v>5</v>
      </c>
      <c r="N45" s="59">
        <f t="shared" si="10"/>
        <v>26.08</v>
      </c>
      <c r="O45" s="59">
        <f t="shared" si="12"/>
        <v>24.65</v>
      </c>
    </row>
    <row r="46" spans="2:15" x14ac:dyDescent="0.25">
      <c r="B46" s="59">
        <v>8</v>
      </c>
      <c r="C46" s="59">
        <f t="shared" si="6"/>
        <v>10</v>
      </c>
      <c r="D46" s="59">
        <f t="shared" si="7"/>
        <v>2</v>
      </c>
      <c r="E46" s="59">
        <f t="shared" si="5"/>
        <v>21.258999999999997</v>
      </c>
      <c r="F46" s="59"/>
      <c r="L46" s="59">
        <f t="shared" si="9"/>
        <v>7</v>
      </c>
      <c r="M46" s="59">
        <f t="shared" si="11"/>
        <v>6</v>
      </c>
      <c r="N46" s="59">
        <f t="shared" si="10"/>
        <v>27.509999999999998</v>
      </c>
      <c r="O46" s="59">
        <f t="shared" si="12"/>
        <v>26.08</v>
      </c>
    </row>
    <row r="47" spans="2:15" x14ac:dyDescent="0.25">
      <c r="B47" s="59">
        <v>9</v>
      </c>
      <c r="C47" s="59">
        <f t="shared" si="6"/>
        <v>9</v>
      </c>
      <c r="D47" s="59" t="s">
        <v>141</v>
      </c>
      <c r="E47" s="59">
        <f t="shared" si="5"/>
        <v>22.259999999999998</v>
      </c>
      <c r="F47" s="59"/>
      <c r="L47" s="59">
        <f t="shared" si="9"/>
        <v>8</v>
      </c>
      <c r="M47" s="59" t="s">
        <v>141</v>
      </c>
      <c r="N47" s="59">
        <f t="shared" si="10"/>
        <v>28.939999999999998</v>
      </c>
      <c r="O47" s="59" t="s">
        <v>141</v>
      </c>
    </row>
    <row r="48" spans="2:15" x14ac:dyDescent="0.25">
      <c r="B48" s="50">
        <v>10</v>
      </c>
      <c r="C48" s="50">
        <f t="shared" si="6"/>
        <v>8</v>
      </c>
      <c r="D48" s="50"/>
      <c r="E48" s="59">
        <f t="shared" si="5"/>
        <v>23.260999999999996</v>
      </c>
      <c r="F48" s="59"/>
      <c r="L48" s="50">
        <f t="shared" si="9"/>
        <v>9</v>
      </c>
      <c r="M48" s="50" t="s">
        <v>141</v>
      </c>
      <c r="N48" s="59">
        <f t="shared" si="10"/>
        <v>30.369999999999997</v>
      </c>
      <c r="O48" s="59"/>
    </row>
    <row r="49" spans="1:15" x14ac:dyDescent="0.25">
      <c r="B49" s="59">
        <v>11</v>
      </c>
      <c r="C49" s="59">
        <f t="shared" si="6"/>
        <v>7</v>
      </c>
      <c r="D49" s="59"/>
      <c r="E49" s="59">
        <f t="shared" si="5"/>
        <v>24.261999999999997</v>
      </c>
      <c r="F49" s="59"/>
      <c r="L49" s="59">
        <f t="shared" si="9"/>
        <v>10</v>
      </c>
      <c r="M49" s="59" t="s">
        <v>141</v>
      </c>
      <c r="N49" s="59">
        <f t="shared" si="10"/>
        <v>31.799999999999997</v>
      </c>
      <c r="O49" s="59"/>
    </row>
    <row r="50" spans="1:15" x14ac:dyDescent="0.25">
      <c r="B50" s="59">
        <v>12</v>
      </c>
      <c r="C50" s="59">
        <f t="shared" si="6"/>
        <v>6</v>
      </c>
      <c r="D50" s="59"/>
      <c r="E50" s="59">
        <f t="shared" si="5"/>
        <v>25.263000000000002</v>
      </c>
      <c r="F50" s="59"/>
      <c r="L50" s="59">
        <f t="shared" si="9"/>
        <v>11</v>
      </c>
      <c r="M50" s="59" t="s">
        <v>141</v>
      </c>
      <c r="N50" s="59">
        <f t="shared" si="10"/>
        <v>33.229999999999997</v>
      </c>
      <c r="O50" s="59"/>
    </row>
    <row r="51" spans="1:15" x14ac:dyDescent="0.25">
      <c r="B51" s="59">
        <v>13</v>
      </c>
      <c r="C51" s="59">
        <f t="shared" si="6"/>
        <v>5</v>
      </c>
      <c r="D51" s="59"/>
      <c r="E51" s="59">
        <f t="shared" si="5"/>
        <v>26.263999999999996</v>
      </c>
      <c r="F51" s="59"/>
      <c r="L51" s="59">
        <f t="shared" si="9"/>
        <v>12</v>
      </c>
      <c r="M51" s="59" t="s">
        <v>141</v>
      </c>
      <c r="N51" s="59">
        <f t="shared" si="10"/>
        <v>34.659999999999997</v>
      </c>
      <c r="O51" s="59"/>
    </row>
    <row r="52" spans="1:15" x14ac:dyDescent="0.25">
      <c r="B52" s="59">
        <v>14</v>
      </c>
      <c r="C52" s="59">
        <f t="shared" si="6"/>
        <v>4</v>
      </c>
      <c r="D52" s="59"/>
      <c r="E52" s="59">
        <f t="shared" si="5"/>
        <v>27.265000000000001</v>
      </c>
      <c r="F52" s="59"/>
      <c r="L52" s="59">
        <f t="shared" si="9"/>
        <v>13</v>
      </c>
      <c r="M52" s="59" t="s">
        <v>141</v>
      </c>
      <c r="N52" s="59">
        <f t="shared" si="10"/>
        <v>36.090000000000003</v>
      </c>
      <c r="O52" s="59"/>
    </row>
    <row r="53" spans="1:15" x14ac:dyDescent="0.25">
      <c r="B53" s="59">
        <v>15</v>
      </c>
      <c r="C53" s="59">
        <f t="shared" si="6"/>
        <v>3</v>
      </c>
      <c r="D53" s="59"/>
      <c r="E53" s="59">
        <f t="shared" si="5"/>
        <v>28.265999999999995</v>
      </c>
      <c r="F53" s="59"/>
      <c r="L53" s="59">
        <f t="shared" si="9"/>
        <v>14</v>
      </c>
      <c r="M53" s="59" t="s">
        <v>141</v>
      </c>
      <c r="N53" s="59">
        <f t="shared" si="10"/>
        <v>37.519999999999996</v>
      </c>
      <c r="O53" s="59"/>
    </row>
    <row r="54" spans="1:15" x14ac:dyDescent="0.25">
      <c r="B54" s="59">
        <v>16</v>
      </c>
      <c r="C54" s="59">
        <f t="shared" si="6"/>
        <v>2</v>
      </c>
      <c r="D54" s="59"/>
      <c r="L54" s="59">
        <f t="shared" si="9"/>
        <v>15</v>
      </c>
      <c r="M54" s="59" t="s">
        <v>142</v>
      </c>
      <c r="N54" s="59">
        <f t="shared" si="10"/>
        <v>38.950000000000003</v>
      </c>
      <c r="O54" s="59"/>
    </row>
    <row r="55" spans="1:15" x14ac:dyDescent="0.25">
      <c r="B55" s="59">
        <v>17</v>
      </c>
      <c r="C55" s="59">
        <f t="shared" si="6"/>
        <v>1</v>
      </c>
      <c r="D55" s="59"/>
      <c r="L55" s="59">
        <f t="shared" si="9"/>
        <v>16</v>
      </c>
      <c r="M55" s="59" t="s">
        <v>141</v>
      </c>
      <c r="N55" s="59">
        <f t="shared" si="10"/>
        <v>40.379999999999995</v>
      </c>
      <c r="O55" s="59"/>
    </row>
    <row r="58" spans="1:15" x14ac:dyDescent="0.25">
      <c r="A58" s="1" t="s">
        <v>144</v>
      </c>
      <c r="B58" s="1"/>
      <c r="C58" s="1"/>
      <c r="D58" s="1"/>
    </row>
    <row r="59" spans="1:15" x14ac:dyDescent="0.25">
      <c r="B59" t="s">
        <v>124</v>
      </c>
      <c r="C59" s="59">
        <v>18</v>
      </c>
      <c r="M59" t="s">
        <v>125</v>
      </c>
      <c r="N59" s="59">
        <v>0.35</v>
      </c>
    </row>
    <row r="60" spans="1:15" x14ac:dyDescent="0.25">
      <c r="B60" t="s">
        <v>126</v>
      </c>
      <c r="C60" s="59">
        <v>1</v>
      </c>
      <c r="M60" t="s">
        <v>127</v>
      </c>
      <c r="N60" s="59">
        <v>2</v>
      </c>
    </row>
    <row r="61" spans="1:15" x14ac:dyDescent="0.25">
      <c r="B61" t="s">
        <v>128</v>
      </c>
      <c r="C61" s="59">
        <v>18</v>
      </c>
      <c r="M61" t="s">
        <v>129</v>
      </c>
      <c r="N61" s="59">
        <v>2.9</v>
      </c>
    </row>
    <row r="62" spans="1:15" x14ac:dyDescent="0.25">
      <c r="B62" t="s">
        <v>130</v>
      </c>
      <c r="C62" s="59">
        <v>2</v>
      </c>
    </row>
    <row r="63" spans="1:15" x14ac:dyDescent="0.25">
      <c r="B63" t="s">
        <v>131</v>
      </c>
      <c r="C63" s="59">
        <v>7</v>
      </c>
    </row>
    <row r="64" spans="1:15" x14ac:dyDescent="0.25">
      <c r="B64" t="s">
        <v>132</v>
      </c>
      <c r="C64" s="59">
        <v>7</v>
      </c>
      <c r="E64" s="59" t="s">
        <v>135</v>
      </c>
      <c r="F64" s="59" t="s">
        <v>136</v>
      </c>
    </row>
    <row r="65" spans="2:15" x14ac:dyDescent="0.25">
      <c r="E65" s="59"/>
      <c r="F65" s="59"/>
    </row>
    <row r="66" spans="2:15" x14ac:dyDescent="0.25">
      <c r="B66" s="59" t="s">
        <v>19</v>
      </c>
      <c r="C66" s="59" t="s">
        <v>133</v>
      </c>
      <c r="D66" s="59" t="s">
        <v>134</v>
      </c>
      <c r="E66" s="59"/>
      <c r="F66" s="59"/>
      <c r="G66" s="59"/>
      <c r="H66" s="59"/>
      <c r="I66" s="59"/>
      <c r="J66" s="59"/>
      <c r="K66" s="59"/>
      <c r="L66" s="59" t="s">
        <v>137</v>
      </c>
      <c r="M66" s="59" t="s">
        <v>138</v>
      </c>
      <c r="N66" s="59" t="s">
        <v>139</v>
      </c>
      <c r="O66" s="59" t="s">
        <v>140</v>
      </c>
    </row>
    <row r="67" spans="2:15" x14ac:dyDescent="0.25">
      <c r="B67" s="59">
        <v>1</v>
      </c>
      <c r="C67" s="59">
        <f>+$C$3-$C$4*B67</f>
        <v>17</v>
      </c>
      <c r="D67" s="59">
        <f>+$C$5-$C$6*B67</f>
        <v>16</v>
      </c>
      <c r="E67" s="50" t="s">
        <v>141</v>
      </c>
      <c r="F67" s="50"/>
    </row>
    <row r="68" spans="2:15" x14ac:dyDescent="0.25">
      <c r="B68" s="59">
        <v>2</v>
      </c>
      <c r="C68" s="59">
        <f t="shared" ref="C68:C83" si="13">+$C$3-$C$4*B68</f>
        <v>16</v>
      </c>
      <c r="D68" s="59">
        <f t="shared" ref="D68:D74" si="14">+$C$5-$C$6*B68</f>
        <v>14</v>
      </c>
      <c r="E68" s="50" t="s">
        <v>141</v>
      </c>
      <c r="F68" s="50" t="s">
        <v>141</v>
      </c>
      <c r="L68" s="59"/>
      <c r="M68" s="59"/>
      <c r="N68" s="59"/>
      <c r="O68" s="59"/>
    </row>
    <row r="69" spans="2:15" x14ac:dyDescent="0.25">
      <c r="B69" s="50">
        <v>3</v>
      </c>
      <c r="C69" s="50">
        <f t="shared" si="13"/>
        <v>15</v>
      </c>
      <c r="D69" s="50">
        <f t="shared" si="14"/>
        <v>12</v>
      </c>
      <c r="E69" s="50" t="s">
        <v>141</v>
      </c>
      <c r="F69" s="50" t="s">
        <v>141</v>
      </c>
      <c r="L69" s="59" t="s">
        <v>141</v>
      </c>
      <c r="M69" s="59"/>
      <c r="N69" s="59"/>
      <c r="O69" s="59"/>
    </row>
    <row r="70" spans="2:15" x14ac:dyDescent="0.25">
      <c r="B70" s="50">
        <v>4</v>
      </c>
      <c r="C70" s="50">
        <f t="shared" si="13"/>
        <v>14</v>
      </c>
      <c r="D70" s="50">
        <f t="shared" si="14"/>
        <v>10</v>
      </c>
      <c r="E70" s="50" t="s">
        <v>141</v>
      </c>
      <c r="F70" s="50" t="s">
        <v>141</v>
      </c>
      <c r="L70" s="59" t="s">
        <v>141</v>
      </c>
      <c r="M70" s="59" t="s">
        <v>141</v>
      </c>
      <c r="N70" s="59"/>
      <c r="O70" s="59"/>
    </row>
    <row r="71" spans="2:15" x14ac:dyDescent="0.25">
      <c r="B71" s="50">
        <v>5</v>
      </c>
      <c r="C71" s="50">
        <f t="shared" si="13"/>
        <v>13</v>
      </c>
      <c r="D71" s="50">
        <f t="shared" si="14"/>
        <v>8</v>
      </c>
      <c r="E71" s="50">
        <f>+$N$59*N73</f>
        <v>0.7</v>
      </c>
      <c r="F71" s="50">
        <f>+$N$59*O73</f>
        <v>0.7</v>
      </c>
      <c r="L71" s="59" t="s">
        <v>141</v>
      </c>
      <c r="M71" s="59" t="s">
        <v>141</v>
      </c>
      <c r="N71" s="59"/>
      <c r="O71" s="59"/>
    </row>
    <row r="72" spans="2:15" x14ac:dyDescent="0.25">
      <c r="B72" s="50">
        <v>6</v>
      </c>
      <c r="C72" s="50">
        <f t="shared" si="13"/>
        <v>12</v>
      </c>
      <c r="D72" s="50">
        <f t="shared" si="14"/>
        <v>6</v>
      </c>
      <c r="E72" s="50">
        <f t="shared" ref="E72:E81" si="15">+$N$59*N74</f>
        <v>1.7150000000000001</v>
      </c>
      <c r="F72" s="49">
        <f>+$N$59*O74</f>
        <v>1.7150000000000001</v>
      </c>
      <c r="L72" s="59" t="s">
        <v>141</v>
      </c>
      <c r="M72" s="59" t="s">
        <v>141</v>
      </c>
      <c r="N72" s="59"/>
      <c r="O72" s="59"/>
    </row>
    <row r="73" spans="2:15" x14ac:dyDescent="0.25">
      <c r="B73" s="48">
        <v>7</v>
      </c>
      <c r="C73" s="48">
        <f t="shared" si="13"/>
        <v>11</v>
      </c>
      <c r="D73" s="50">
        <f t="shared" si="14"/>
        <v>4</v>
      </c>
      <c r="E73" s="50">
        <f t="shared" si="15"/>
        <v>2.73</v>
      </c>
      <c r="F73" s="50"/>
      <c r="L73" s="50">
        <f>+B73-$C$63</f>
        <v>0</v>
      </c>
      <c r="M73" s="50">
        <f>+B73-$C$64</f>
        <v>0</v>
      </c>
      <c r="N73" s="50">
        <f>+($N$60+$N$61*(B73-$C$63))</f>
        <v>2</v>
      </c>
      <c r="O73" s="50">
        <f>+($N$60+$N$61*(B73-$C$64))</f>
        <v>2</v>
      </c>
    </row>
    <row r="74" spans="2:15" x14ac:dyDescent="0.25">
      <c r="B74" s="50">
        <v>8</v>
      </c>
      <c r="C74" s="50">
        <f t="shared" si="13"/>
        <v>10</v>
      </c>
      <c r="D74" s="49">
        <f t="shared" si="14"/>
        <v>2</v>
      </c>
      <c r="E74" s="50">
        <f t="shared" si="15"/>
        <v>3.7449999999999997</v>
      </c>
      <c r="F74" s="50"/>
      <c r="L74" s="50">
        <f t="shared" ref="L74:L83" si="16">+B74-$C$63</f>
        <v>1</v>
      </c>
      <c r="M74" s="49">
        <f>+B74-$C$64</f>
        <v>1</v>
      </c>
      <c r="N74" s="50">
        <f t="shared" ref="N74:N83" si="17">+($N$60+$N$61*(B74-$C$63))</f>
        <v>4.9000000000000004</v>
      </c>
      <c r="O74" s="49">
        <f>+($N$60+$N$61*(B74-$C$64))</f>
        <v>4.9000000000000004</v>
      </c>
    </row>
    <row r="75" spans="2:15" x14ac:dyDescent="0.25">
      <c r="B75" s="50">
        <v>9</v>
      </c>
      <c r="C75" s="50">
        <f t="shared" si="13"/>
        <v>9</v>
      </c>
      <c r="D75" s="50" t="s">
        <v>141</v>
      </c>
      <c r="E75" s="50">
        <f t="shared" si="15"/>
        <v>4.76</v>
      </c>
      <c r="F75" s="59"/>
      <c r="L75" s="50">
        <f t="shared" si="16"/>
        <v>2</v>
      </c>
      <c r="M75" s="50" t="s">
        <v>141</v>
      </c>
      <c r="N75" s="50">
        <f t="shared" si="17"/>
        <v>7.8</v>
      </c>
      <c r="O75" s="50" t="s">
        <v>141</v>
      </c>
    </row>
    <row r="76" spans="2:15" x14ac:dyDescent="0.25">
      <c r="B76" s="50">
        <v>10</v>
      </c>
      <c r="C76" s="50">
        <f t="shared" si="13"/>
        <v>8</v>
      </c>
      <c r="D76" s="50"/>
      <c r="E76" s="50">
        <f t="shared" si="15"/>
        <v>5.7749999999999995</v>
      </c>
      <c r="F76" s="59"/>
      <c r="L76" s="50">
        <f t="shared" si="16"/>
        <v>3</v>
      </c>
      <c r="M76" s="50" t="s">
        <v>141</v>
      </c>
      <c r="N76" s="50">
        <f t="shared" si="17"/>
        <v>10.7</v>
      </c>
      <c r="O76" s="50"/>
    </row>
    <row r="77" spans="2:15" x14ac:dyDescent="0.25">
      <c r="B77" s="59">
        <v>11</v>
      </c>
      <c r="C77" s="59">
        <f t="shared" si="13"/>
        <v>7</v>
      </c>
      <c r="D77" s="59"/>
      <c r="E77" s="50">
        <f t="shared" si="15"/>
        <v>6.7899999999999991</v>
      </c>
      <c r="F77" s="59"/>
      <c r="L77" s="50">
        <f t="shared" si="16"/>
        <v>4</v>
      </c>
      <c r="M77" s="59" t="s">
        <v>141</v>
      </c>
      <c r="N77" s="50">
        <f t="shared" si="17"/>
        <v>13.6</v>
      </c>
      <c r="O77" s="59"/>
    </row>
    <row r="78" spans="2:15" x14ac:dyDescent="0.25">
      <c r="B78" s="59">
        <v>12</v>
      </c>
      <c r="C78" s="59">
        <f t="shared" si="13"/>
        <v>6</v>
      </c>
      <c r="D78" s="59"/>
      <c r="E78" s="50">
        <f t="shared" si="15"/>
        <v>7.8049999999999997</v>
      </c>
      <c r="F78" s="59"/>
      <c r="L78" s="48">
        <f t="shared" si="16"/>
        <v>5</v>
      </c>
      <c r="M78" s="59" t="s">
        <v>141</v>
      </c>
      <c r="N78" s="48">
        <f t="shared" si="17"/>
        <v>16.5</v>
      </c>
      <c r="O78" s="59"/>
    </row>
    <row r="79" spans="2:15" x14ac:dyDescent="0.25">
      <c r="B79" s="59">
        <v>13</v>
      </c>
      <c r="C79" s="59">
        <f t="shared" si="13"/>
        <v>5</v>
      </c>
      <c r="D79" s="59"/>
      <c r="E79" s="50">
        <f t="shared" si="15"/>
        <v>8.8199999999999985</v>
      </c>
      <c r="F79" s="59"/>
      <c r="L79" s="50">
        <f t="shared" si="16"/>
        <v>6</v>
      </c>
      <c r="M79" s="59" t="s">
        <v>141</v>
      </c>
      <c r="N79" s="50">
        <f t="shared" si="17"/>
        <v>19.399999999999999</v>
      </c>
      <c r="O79" s="59"/>
    </row>
    <row r="80" spans="2:15" x14ac:dyDescent="0.25">
      <c r="B80" s="59">
        <v>14</v>
      </c>
      <c r="C80" s="59">
        <f t="shared" si="13"/>
        <v>4</v>
      </c>
      <c r="D80" s="59"/>
      <c r="E80" s="50">
        <f t="shared" si="15"/>
        <v>9.8349999999999991</v>
      </c>
      <c r="F80" s="59"/>
      <c r="L80" s="50">
        <f t="shared" si="16"/>
        <v>7</v>
      </c>
      <c r="M80" s="59" t="s">
        <v>141</v>
      </c>
      <c r="N80" s="50">
        <f t="shared" si="17"/>
        <v>22.3</v>
      </c>
      <c r="O80" s="59"/>
    </row>
    <row r="81" spans="1:15" x14ac:dyDescent="0.25">
      <c r="B81" s="59">
        <v>15</v>
      </c>
      <c r="C81" s="59">
        <f t="shared" si="13"/>
        <v>3</v>
      </c>
      <c r="D81" s="59"/>
      <c r="E81" s="50">
        <f t="shared" si="15"/>
        <v>10.85</v>
      </c>
      <c r="F81" s="59"/>
      <c r="L81" s="50">
        <f t="shared" si="16"/>
        <v>8</v>
      </c>
      <c r="M81" s="59" t="s">
        <v>141</v>
      </c>
      <c r="N81" s="50">
        <f t="shared" si="17"/>
        <v>25.2</v>
      </c>
      <c r="O81" s="59"/>
    </row>
    <row r="82" spans="1:15" x14ac:dyDescent="0.25">
      <c r="B82" s="59">
        <v>16</v>
      </c>
      <c r="C82" s="59">
        <f t="shared" si="13"/>
        <v>2</v>
      </c>
      <c r="D82" s="59"/>
      <c r="L82" s="50">
        <f t="shared" si="16"/>
        <v>9</v>
      </c>
      <c r="M82" s="59" t="s">
        <v>142</v>
      </c>
      <c r="N82" s="50">
        <f t="shared" si="17"/>
        <v>28.099999999999998</v>
      </c>
      <c r="O82" s="59"/>
    </row>
    <row r="83" spans="1:15" x14ac:dyDescent="0.25">
      <c r="B83" s="59">
        <v>17</v>
      </c>
      <c r="C83" s="59">
        <f t="shared" si="13"/>
        <v>1</v>
      </c>
      <c r="D83" s="59"/>
      <c r="L83" s="50">
        <f t="shared" si="16"/>
        <v>10</v>
      </c>
      <c r="M83" s="59" t="s">
        <v>141</v>
      </c>
      <c r="N83" s="50">
        <f t="shared" si="17"/>
        <v>31</v>
      </c>
      <c r="O83" s="59"/>
    </row>
    <row r="86" spans="1:15" x14ac:dyDescent="0.25">
      <c r="A86" s="1" t="s">
        <v>145</v>
      </c>
      <c r="B86" s="1"/>
      <c r="C86" s="1"/>
      <c r="D86" s="1"/>
    </row>
    <row r="87" spans="1:15" x14ac:dyDescent="0.25">
      <c r="B87" t="s">
        <v>124</v>
      </c>
      <c r="C87" s="59">
        <v>18</v>
      </c>
      <c r="M87" t="s">
        <v>125</v>
      </c>
      <c r="N87" s="59">
        <v>0.7</v>
      </c>
    </row>
    <row r="88" spans="1:15" x14ac:dyDescent="0.25">
      <c r="B88" t="s">
        <v>126</v>
      </c>
      <c r="C88" s="59">
        <v>1</v>
      </c>
      <c r="M88" t="s">
        <v>127</v>
      </c>
      <c r="N88" s="59">
        <v>17.5</v>
      </c>
    </row>
    <row r="89" spans="1:15" x14ac:dyDescent="0.25">
      <c r="B89" t="s">
        <v>128</v>
      </c>
      <c r="C89" s="59">
        <v>18</v>
      </c>
      <c r="M89" t="s">
        <v>129</v>
      </c>
      <c r="N89" s="59">
        <v>1.43</v>
      </c>
    </row>
    <row r="90" spans="1:15" x14ac:dyDescent="0.25">
      <c r="B90" t="s">
        <v>130</v>
      </c>
      <c r="C90" s="59">
        <v>2</v>
      </c>
    </row>
    <row r="91" spans="1:15" x14ac:dyDescent="0.25">
      <c r="B91" t="s">
        <v>131</v>
      </c>
      <c r="C91" s="59">
        <v>7</v>
      </c>
    </row>
    <row r="92" spans="1:15" x14ac:dyDescent="0.25">
      <c r="B92" t="s">
        <v>132</v>
      </c>
      <c r="C92" s="59">
        <v>7</v>
      </c>
      <c r="E92" s="59" t="s">
        <v>135</v>
      </c>
      <c r="F92" s="59" t="s">
        <v>136</v>
      </c>
    </row>
    <row r="93" spans="1:15" x14ac:dyDescent="0.25">
      <c r="E93" s="59"/>
      <c r="F93" s="59"/>
    </row>
    <row r="94" spans="1:15" x14ac:dyDescent="0.25">
      <c r="B94" s="59" t="s">
        <v>19</v>
      </c>
      <c r="C94" s="59" t="s">
        <v>133</v>
      </c>
      <c r="D94" s="59" t="s">
        <v>134</v>
      </c>
      <c r="E94" s="59"/>
      <c r="F94" s="59"/>
      <c r="G94" s="59"/>
      <c r="H94" s="59"/>
      <c r="I94" s="59"/>
      <c r="J94" s="59"/>
      <c r="K94" s="59"/>
      <c r="L94" s="59" t="s">
        <v>137</v>
      </c>
      <c r="M94" s="59" t="s">
        <v>138</v>
      </c>
      <c r="N94" s="59" t="s">
        <v>139</v>
      </c>
      <c r="O94" s="59" t="s">
        <v>140</v>
      </c>
    </row>
    <row r="95" spans="1:15" x14ac:dyDescent="0.25">
      <c r="B95" s="59">
        <v>1</v>
      </c>
      <c r="C95" s="59">
        <f>+$C$3-$C$4*B95</f>
        <v>17</v>
      </c>
      <c r="D95" s="59">
        <f>+$C$5-$C$6*B95</f>
        <v>16</v>
      </c>
      <c r="E95" s="50" t="s">
        <v>141</v>
      </c>
      <c r="F95" s="50"/>
    </row>
    <row r="96" spans="1:15" x14ac:dyDescent="0.25">
      <c r="B96" s="59">
        <v>2</v>
      </c>
      <c r="C96" s="59">
        <f t="shared" ref="C96:C111" si="18">+$C$3-$C$4*B96</f>
        <v>16</v>
      </c>
      <c r="D96" s="59">
        <f t="shared" ref="D96:D102" si="19">+$C$5-$C$6*B96</f>
        <v>14</v>
      </c>
      <c r="E96" s="50" t="s">
        <v>141</v>
      </c>
      <c r="F96" s="50" t="s">
        <v>141</v>
      </c>
      <c r="L96" s="59"/>
      <c r="M96" s="59"/>
      <c r="N96" s="59"/>
      <c r="O96" s="59"/>
    </row>
    <row r="97" spans="1:15" x14ac:dyDescent="0.25">
      <c r="B97" s="50">
        <v>3</v>
      </c>
      <c r="C97" s="50">
        <f t="shared" si="18"/>
        <v>15</v>
      </c>
      <c r="D97" s="50">
        <f t="shared" si="19"/>
        <v>12</v>
      </c>
      <c r="E97" s="50" t="s">
        <v>141</v>
      </c>
      <c r="F97" s="50" t="s">
        <v>141</v>
      </c>
      <c r="L97" s="59" t="s">
        <v>141</v>
      </c>
      <c r="M97" s="59"/>
      <c r="N97" s="59"/>
      <c r="O97" s="59"/>
    </row>
    <row r="98" spans="1:15" x14ac:dyDescent="0.25">
      <c r="B98" s="50">
        <v>4</v>
      </c>
      <c r="C98" s="50">
        <f t="shared" si="18"/>
        <v>14</v>
      </c>
      <c r="D98" s="50">
        <f t="shared" si="19"/>
        <v>10</v>
      </c>
      <c r="E98" s="50" t="s">
        <v>141</v>
      </c>
      <c r="F98" s="50" t="s">
        <v>141</v>
      </c>
      <c r="L98" s="59" t="s">
        <v>141</v>
      </c>
      <c r="M98" s="59" t="s">
        <v>141</v>
      </c>
      <c r="N98" s="59"/>
      <c r="O98" s="59"/>
    </row>
    <row r="99" spans="1:15" x14ac:dyDescent="0.25">
      <c r="B99" s="50">
        <v>5</v>
      </c>
      <c r="C99" s="50">
        <f t="shared" si="18"/>
        <v>13</v>
      </c>
      <c r="D99" s="50">
        <f t="shared" si="19"/>
        <v>8</v>
      </c>
      <c r="E99" s="49">
        <f>+$N$87*N101</f>
        <v>12.25</v>
      </c>
      <c r="F99" s="49">
        <f>+$N$87*O101</f>
        <v>12.25</v>
      </c>
      <c r="L99" s="59" t="s">
        <v>141</v>
      </c>
      <c r="M99" s="59" t="s">
        <v>141</v>
      </c>
      <c r="N99" s="59"/>
      <c r="O99" s="59"/>
    </row>
    <row r="100" spans="1:15" x14ac:dyDescent="0.25">
      <c r="B100" s="50">
        <v>6</v>
      </c>
      <c r="C100" s="50">
        <f t="shared" si="18"/>
        <v>12</v>
      </c>
      <c r="D100" s="50">
        <f t="shared" si="19"/>
        <v>6</v>
      </c>
      <c r="E100" s="50">
        <f t="shared" ref="E100:E109" si="20">+$N$87*N102</f>
        <v>13.250999999999999</v>
      </c>
      <c r="F100" s="50">
        <f>+$N$87*O102</f>
        <v>13.250999999999999</v>
      </c>
      <c r="L100" s="59" t="s">
        <v>141</v>
      </c>
      <c r="M100" s="59" t="s">
        <v>141</v>
      </c>
      <c r="N100" s="59"/>
      <c r="O100" s="59"/>
    </row>
    <row r="101" spans="1:15" x14ac:dyDescent="0.25">
      <c r="A101" s="51"/>
      <c r="B101" s="49">
        <v>7</v>
      </c>
      <c r="C101" s="49">
        <f t="shared" si="18"/>
        <v>11</v>
      </c>
      <c r="D101" s="49">
        <f t="shared" si="19"/>
        <v>4</v>
      </c>
      <c r="E101" s="50">
        <f t="shared" si="20"/>
        <v>14.251999999999999</v>
      </c>
      <c r="F101" s="50"/>
      <c r="G101" s="51"/>
      <c r="H101" s="51"/>
      <c r="I101" s="51"/>
      <c r="J101" s="51"/>
      <c r="K101" s="51"/>
      <c r="L101" s="49">
        <f>+B101-$C$63</f>
        <v>0</v>
      </c>
      <c r="M101" s="49">
        <f>+B101-$C$64</f>
        <v>0</v>
      </c>
      <c r="N101" s="49">
        <f>+($N$88+$N$89*(B101-$C$63))</f>
        <v>17.5</v>
      </c>
      <c r="O101" s="49">
        <f>+($N$88+$N$89*(B101-$C$64))</f>
        <v>17.5</v>
      </c>
    </row>
    <row r="102" spans="1:15" x14ac:dyDescent="0.25">
      <c r="B102" s="50">
        <v>8</v>
      </c>
      <c r="C102" s="50">
        <f t="shared" si="18"/>
        <v>10</v>
      </c>
      <c r="D102" s="50">
        <f t="shared" si="19"/>
        <v>2</v>
      </c>
      <c r="E102" s="50">
        <f t="shared" si="20"/>
        <v>15.252999999999998</v>
      </c>
      <c r="F102" s="50"/>
      <c r="G102" s="52"/>
      <c r="H102" s="52"/>
      <c r="I102" s="52"/>
      <c r="J102" s="52"/>
      <c r="K102" s="52"/>
      <c r="L102" s="50">
        <f t="shared" ref="L102:L111" si="21">+B102-$C$63</f>
        <v>1</v>
      </c>
      <c r="M102" s="50">
        <f>+B102-$C$64</f>
        <v>1</v>
      </c>
      <c r="N102" s="50">
        <f t="shared" ref="N102:N111" si="22">+($N$88+$N$89*(B102-$C$63))</f>
        <v>18.93</v>
      </c>
      <c r="O102" s="50">
        <f>+($N$88+$N$89*(B102-$C$64))</f>
        <v>18.93</v>
      </c>
    </row>
    <row r="103" spans="1:15" x14ac:dyDescent="0.25">
      <c r="B103" s="50">
        <v>9</v>
      </c>
      <c r="C103" s="50">
        <f t="shared" si="18"/>
        <v>9</v>
      </c>
      <c r="D103" s="50" t="s">
        <v>141</v>
      </c>
      <c r="E103" s="50">
        <f t="shared" si="20"/>
        <v>16.253999999999998</v>
      </c>
      <c r="F103" s="50"/>
      <c r="G103" s="52"/>
      <c r="H103" s="52"/>
      <c r="I103" s="52"/>
      <c r="J103" s="52"/>
      <c r="K103" s="52"/>
      <c r="L103" s="50">
        <f t="shared" si="21"/>
        <v>2</v>
      </c>
      <c r="M103" s="50" t="s">
        <v>141</v>
      </c>
      <c r="N103" s="50">
        <f t="shared" si="22"/>
        <v>20.36</v>
      </c>
      <c r="O103" s="50" t="s">
        <v>141</v>
      </c>
    </row>
    <row r="104" spans="1:15" x14ac:dyDescent="0.25">
      <c r="B104" s="50">
        <v>10</v>
      </c>
      <c r="C104" s="50">
        <f t="shared" si="18"/>
        <v>8</v>
      </c>
      <c r="D104" s="50"/>
      <c r="E104" s="50">
        <f t="shared" si="20"/>
        <v>17.254999999999999</v>
      </c>
      <c r="F104" s="50"/>
      <c r="G104" s="52"/>
      <c r="H104" s="52"/>
      <c r="I104" s="52"/>
      <c r="J104" s="52"/>
      <c r="K104" s="52"/>
      <c r="L104" s="50">
        <f t="shared" si="21"/>
        <v>3</v>
      </c>
      <c r="M104" s="50" t="s">
        <v>141</v>
      </c>
      <c r="N104" s="50">
        <f t="shared" si="22"/>
        <v>21.79</v>
      </c>
      <c r="O104" s="50"/>
    </row>
    <row r="105" spans="1:15" x14ac:dyDescent="0.25">
      <c r="B105" s="50">
        <v>11</v>
      </c>
      <c r="C105" s="50">
        <f t="shared" si="18"/>
        <v>7</v>
      </c>
      <c r="D105" s="50"/>
      <c r="E105" s="50">
        <f t="shared" si="20"/>
        <v>18.255999999999997</v>
      </c>
      <c r="F105" s="59"/>
      <c r="G105" s="52"/>
      <c r="H105" s="52"/>
      <c r="I105" s="52"/>
      <c r="J105" s="52"/>
      <c r="K105" s="52"/>
      <c r="L105" s="50">
        <f t="shared" si="21"/>
        <v>4</v>
      </c>
      <c r="M105" s="50" t="s">
        <v>141</v>
      </c>
      <c r="N105" s="50">
        <f t="shared" si="22"/>
        <v>23.22</v>
      </c>
      <c r="O105" s="50"/>
    </row>
    <row r="106" spans="1:15" x14ac:dyDescent="0.25">
      <c r="B106" s="50">
        <v>12</v>
      </c>
      <c r="C106" s="50">
        <f t="shared" si="18"/>
        <v>6</v>
      </c>
      <c r="D106" s="50"/>
      <c r="E106" s="50">
        <f t="shared" si="20"/>
        <v>19.256999999999998</v>
      </c>
      <c r="F106" s="59"/>
      <c r="G106" s="52"/>
      <c r="H106" s="52"/>
      <c r="I106" s="52"/>
      <c r="J106" s="52"/>
      <c r="K106" s="52"/>
      <c r="L106" s="50">
        <f t="shared" si="21"/>
        <v>5</v>
      </c>
      <c r="M106" s="50" t="s">
        <v>141</v>
      </c>
      <c r="N106" s="50">
        <f t="shared" si="22"/>
        <v>24.65</v>
      </c>
      <c r="O106" s="50"/>
    </row>
    <row r="107" spans="1:15" x14ac:dyDescent="0.25">
      <c r="B107" s="59">
        <v>13</v>
      </c>
      <c r="C107" s="59">
        <f t="shared" si="18"/>
        <v>5</v>
      </c>
      <c r="D107" s="59"/>
      <c r="E107" s="50">
        <f t="shared" si="20"/>
        <v>20.257999999999996</v>
      </c>
      <c r="F107" s="59"/>
      <c r="L107" s="50">
        <f t="shared" si="21"/>
        <v>6</v>
      </c>
      <c r="M107" s="59" t="s">
        <v>141</v>
      </c>
      <c r="N107" s="50">
        <f t="shared" si="22"/>
        <v>26.08</v>
      </c>
      <c r="O107" s="59"/>
    </row>
    <row r="108" spans="1:15" x14ac:dyDescent="0.25">
      <c r="B108" s="59">
        <v>14</v>
      </c>
      <c r="C108" s="59">
        <f t="shared" si="18"/>
        <v>4</v>
      </c>
      <c r="D108" s="59"/>
      <c r="E108" s="50">
        <f t="shared" si="20"/>
        <v>21.258999999999997</v>
      </c>
      <c r="F108" s="59"/>
      <c r="L108" s="50">
        <f t="shared" si="21"/>
        <v>7</v>
      </c>
      <c r="M108" s="59" t="s">
        <v>141</v>
      </c>
      <c r="N108" s="50">
        <f t="shared" si="22"/>
        <v>27.509999999999998</v>
      </c>
      <c r="O108" s="59"/>
    </row>
    <row r="109" spans="1:15" x14ac:dyDescent="0.25">
      <c r="B109" s="59">
        <v>15</v>
      </c>
      <c r="C109" s="59">
        <f t="shared" si="18"/>
        <v>3</v>
      </c>
      <c r="D109" s="59"/>
      <c r="E109" s="50">
        <f t="shared" si="20"/>
        <v>22.259999999999998</v>
      </c>
      <c r="F109" s="59"/>
      <c r="L109" s="50">
        <f t="shared" si="21"/>
        <v>8</v>
      </c>
      <c r="M109" s="59" t="s">
        <v>141</v>
      </c>
      <c r="N109" s="50">
        <f t="shared" si="22"/>
        <v>28.939999999999998</v>
      </c>
      <c r="O109" s="59"/>
    </row>
    <row r="110" spans="1:15" x14ac:dyDescent="0.25">
      <c r="B110" s="59">
        <v>16</v>
      </c>
      <c r="C110" s="59">
        <f t="shared" si="18"/>
        <v>2</v>
      </c>
      <c r="D110" s="59"/>
      <c r="L110" s="50">
        <f t="shared" si="21"/>
        <v>9</v>
      </c>
      <c r="M110" s="59" t="s">
        <v>142</v>
      </c>
      <c r="N110" s="50">
        <f t="shared" si="22"/>
        <v>30.369999999999997</v>
      </c>
      <c r="O110" s="59"/>
    </row>
    <row r="111" spans="1:15" x14ac:dyDescent="0.25">
      <c r="B111" s="59">
        <v>17</v>
      </c>
      <c r="C111" s="59">
        <f t="shared" si="18"/>
        <v>1</v>
      </c>
      <c r="D111" s="59"/>
      <c r="L111" s="50">
        <f t="shared" si="21"/>
        <v>10</v>
      </c>
      <c r="M111" s="59" t="s">
        <v>141</v>
      </c>
      <c r="N111" s="50">
        <f t="shared" si="22"/>
        <v>31.799999999999997</v>
      </c>
      <c r="O111" s="5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2" sqref="A2:F15"/>
    </sheetView>
  </sheetViews>
  <sheetFormatPr baseColWidth="10" defaultRowHeight="15" x14ac:dyDescent="0.25"/>
  <sheetData>
    <row r="1" spans="1:6" x14ac:dyDescent="0.25">
      <c r="A1" t="s">
        <v>159</v>
      </c>
    </row>
    <row r="2" spans="1:6" x14ac:dyDescent="0.25">
      <c r="A2" s="319" t="s">
        <v>168</v>
      </c>
      <c r="B2" t="s">
        <v>69</v>
      </c>
      <c r="C2" s="61">
        <v>2</v>
      </c>
      <c r="D2">
        <f t="shared" ref="D2:E2" si="0">C2</f>
        <v>2</v>
      </c>
      <c r="E2" s="61">
        <f t="shared" si="0"/>
        <v>2</v>
      </c>
    </row>
    <row r="3" spans="1:6" x14ac:dyDescent="0.25">
      <c r="A3" s="319"/>
      <c r="B3" s="13" t="s">
        <v>170</v>
      </c>
      <c r="C3" s="57">
        <f>'7) STD-f''creciente-VIOL'!N3</f>
        <v>0.55000000000000004</v>
      </c>
      <c r="D3">
        <f>+C8/D7</f>
        <v>0.52952345495160091</v>
      </c>
      <c r="E3" s="61">
        <f>+D8/E7</f>
        <v>0.29109701187065085</v>
      </c>
      <c r="F3" t="s">
        <v>158</v>
      </c>
    </row>
    <row r="4" spans="1:6" x14ac:dyDescent="0.25">
      <c r="A4" s="319"/>
      <c r="B4" s="13" t="s">
        <v>127</v>
      </c>
      <c r="C4" s="57">
        <f>'7) STD-f''creciente-VIOL'!N4</f>
        <v>23</v>
      </c>
      <c r="D4">
        <f>+C4-1</f>
        <v>22</v>
      </c>
      <c r="E4" s="61">
        <v>0</v>
      </c>
      <c r="F4" t="s">
        <v>156</v>
      </c>
    </row>
    <row r="5" spans="1:6" x14ac:dyDescent="0.25">
      <c r="A5" s="319"/>
      <c r="B5" s="13" t="s">
        <v>129</v>
      </c>
      <c r="C5" s="57">
        <f>'7) STD-f''creciente-VIOL'!N5</f>
        <v>1.43</v>
      </c>
      <c r="D5">
        <f>+C5+(($C$4-D4)/(D2/2))</f>
        <v>2.4299999999999997</v>
      </c>
      <c r="E5" s="61">
        <f>+C5+(($C$4-E4)/(E2/2))</f>
        <v>24.43</v>
      </c>
    </row>
    <row r="6" spans="1:6" x14ac:dyDescent="0.25">
      <c r="A6" s="319"/>
      <c r="B6" s="13" t="s">
        <v>177</v>
      </c>
      <c r="C6" s="61">
        <f>C4*C2+C5/2*POWER(C2,2)</f>
        <v>48.86</v>
      </c>
      <c r="D6">
        <f>D4*D2+D5/2*POWER(D2,2)</f>
        <v>48.86</v>
      </c>
      <c r="E6" s="61">
        <f>E4*E2+E5/2*POWER(E2,2)</f>
        <v>48.86</v>
      </c>
    </row>
    <row r="7" spans="1:6" x14ac:dyDescent="0.25">
      <c r="A7" s="319"/>
      <c r="B7" s="13" t="s">
        <v>153</v>
      </c>
      <c r="C7" s="61">
        <f>+C4+C5*C2</f>
        <v>25.86</v>
      </c>
      <c r="D7">
        <f>+D4+D5*D2</f>
        <v>26.86</v>
      </c>
      <c r="E7" s="61">
        <f>+E4+E5*E2</f>
        <v>48.86</v>
      </c>
      <c r="F7" t="s">
        <v>157</v>
      </c>
    </row>
    <row r="8" spans="1:6" x14ac:dyDescent="0.25">
      <c r="A8" s="319"/>
      <c r="B8" s="13" t="s">
        <v>154</v>
      </c>
      <c r="C8" s="61">
        <f>+C3*C7</f>
        <v>14.223000000000001</v>
      </c>
      <c r="D8">
        <f>+D3*D7</f>
        <v>14.223000000000001</v>
      </c>
      <c r="E8" s="61">
        <f>+E3*E7</f>
        <v>14.223000000000001</v>
      </c>
    </row>
    <row r="9" spans="1:6" x14ac:dyDescent="0.25">
      <c r="A9" s="319" t="s">
        <v>169</v>
      </c>
      <c r="B9" t="s">
        <v>69</v>
      </c>
      <c r="C9" s="61">
        <v>2</v>
      </c>
      <c r="D9">
        <f>C9</f>
        <v>2</v>
      </c>
      <c r="E9" s="61">
        <f>D9</f>
        <v>2</v>
      </c>
    </row>
    <row r="10" spans="1:6" x14ac:dyDescent="0.25">
      <c r="A10" s="319"/>
      <c r="B10" s="13" t="s">
        <v>125</v>
      </c>
      <c r="C10" s="57">
        <f>'7) STD-f''creciente-VIOL'!P3</f>
        <v>0.33333333333333331</v>
      </c>
      <c r="D10">
        <f>+C15/D14</f>
        <v>0.32092330603127323</v>
      </c>
      <c r="E10" s="61">
        <f>+D15/E14</f>
        <v>0.17642243143675806</v>
      </c>
    </row>
    <row r="11" spans="1:6" x14ac:dyDescent="0.25">
      <c r="A11" s="319"/>
      <c r="B11" s="13" t="s">
        <v>127</v>
      </c>
      <c r="C11" s="57">
        <f>C4</f>
        <v>23</v>
      </c>
      <c r="D11">
        <f>+C11-1</f>
        <v>22</v>
      </c>
      <c r="E11" s="61">
        <v>0</v>
      </c>
    </row>
    <row r="12" spans="1:6" x14ac:dyDescent="0.25">
      <c r="A12" s="319"/>
      <c r="B12" s="13" t="s">
        <v>129</v>
      </c>
      <c r="C12" s="57">
        <f>C5</f>
        <v>1.43</v>
      </c>
      <c r="D12" s="61">
        <f>+C12+(1/(D9/2))</f>
        <v>2.4299999999999997</v>
      </c>
      <c r="E12" s="61">
        <f>+C12+((C11-E11)/(E9/2))</f>
        <v>24.43</v>
      </c>
    </row>
    <row r="13" spans="1:6" x14ac:dyDescent="0.25">
      <c r="A13" s="319"/>
      <c r="B13" s="13" t="s">
        <v>177</v>
      </c>
      <c r="C13" s="61">
        <f>C11*C9+C12/2*POWER(C9,2)</f>
        <v>48.86</v>
      </c>
      <c r="D13">
        <f>D11*D9+D12/2*POWER(D9,2)</f>
        <v>48.86</v>
      </c>
      <c r="E13" s="61">
        <f>E11*E9+E12/2*POWER(E9,2)</f>
        <v>48.86</v>
      </c>
    </row>
    <row r="14" spans="1:6" x14ac:dyDescent="0.25">
      <c r="A14" s="319"/>
      <c r="B14" s="13" t="s">
        <v>153</v>
      </c>
      <c r="C14" s="61">
        <f>+C11+C12*C9</f>
        <v>25.86</v>
      </c>
      <c r="D14">
        <f>+D11+D12*D9</f>
        <v>26.86</v>
      </c>
      <c r="E14" s="61">
        <f>+E11+E12*E9</f>
        <v>48.86</v>
      </c>
    </row>
    <row r="15" spans="1:6" x14ac:dyDescent="0.25">
      <c r="A15" s="319"/>
      <c r="B15" s="13" t="s">
        <v>154</v>
      </c>
      <c r="C15" s="61">
        <f>+C10*C14</f>
        <v>8.6199999999999992</v>
      </c>
      <c r="D15">
        <f>+D10*D14</f>
        <v>8.6199999999999992</v>
      </c>
      <c r="E15" s="61">
        <f>+E10*E14</f>
        <v>8.6199999999999992</v>
      </c>
    </row>
  </sheetData>
  <mergeCells count="2">
    <mergeCell ref="A2:A8"/>
    <mergeCell ref="A9:A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E5" sqref="E5"/>
    </sheetView>
  </sheetViews>
  <sheetFormatPr baseColWidth="10" defaultRowHeight="15" x14ac:dyDescent="0.25"/>
  <sheetData>
    <row r="1" spans="1:6" x14ac:dyDescent="0.25">
      <c r="A1" t="s">
        <v>159</v>
      </c>
    </row>
    <row r="2" spans="1:6" x14ac:dyDescent="0.25">
      <c r="A2" s="319" t="s">
        <v>183</v>
      </c>
      <c r="B2" t="s">
        <v>69</v>
      </c>
      <c r="C2" s="61">
        <v>2</v>
      </c>
      <c r="D2">
        <f t="shared" ref="D2" si="0">C2</f>
        <v>2</v>
      </c>
      <c r="E2" s="61">
        <f>D2</f>
        <v>2</v>
      </c>
    </row>
    <row r="3" spans="1:6" x14ac:dyDescent="0.25">
      <c r="A3" s="319"/>
      <c r="B3" s="13" t="s">
        <v>170</v>
      </c>
      <c r="C3" s="57">
        <v>0.65</v>
      </c>
      <c r="D3">
        <f>+C8/D7</f>
        <v>0.61956928838951308</v>
      </c>
      <c r="E3" s="61">
        <f>+D8/E7</f>
        <v>0.34955097728473322</v>
      </c>
      <c r="F3" t="s">
        <v>158</v>
      </c>
    </row>
    <row r="4" spans="1:6" x14ac:dyDescent="0.25">
      <c r="A4" s="319"/>
      <c r="B4" s="13" t="s">
        <v>127</v>
      </c>
      <c r="C4" s="57">
        <v>17.5</v>
      </c>
      <c r="D4">
        <f>+C4-1</f>
        <v>16.5</v>
      </c>
      <c r="E4" s="61">
        <v>0</v>
      </c>
      <c r="F4" t="s">
        <v>156</v>
      </c>
    </row>
    <row r="5" spans="1:6" x14ac:dyDescent="0.25">
      <c r="A5" s="319"/>
      <c r="B5" s="13" t="s">
        <v>129</v>
      </c>
      <c r="C5" s="57">
        <f>'7) STD-f''creciente-VIOL'!N5</f>
        <v>1.43</v>
      </c>
      <c r="D5">
        <f>+C5+(($C$4-D4)/(D2/2))</f>
        <v>2.4299999999999997</v>
      </c>
      <c r="E5" s="61">
        <f>+C5+(($C$4-E4)/(E2/2))</f>
        <v>18.93</v>
      </c>
    </row>
    <row r="6" spans="1:6" x14ac:dyDescent="0.25">
      <c r="A6" s="319"/>
      <c r="B6" s="13" t="s">
        <v>177</v>
      </c>
      <c r="C6" s="61">
        <f>C4*C2+C5/2*POWER(C2,2)</f>
        <v>37.86</v>
      </c>
      <c r="D6">
        <f>D4*D2+D5/2*POWER(D2,2)</f>
        <v>37.86</v>
      </c>
      <c r="E6" s="61">
        <f>E4*E2+E5/2*POWER(E2,2)</f>
        <v>37.86</v>
      </c>
    </row>
    <row r="7" spans="1:6" x14ac:dyDescent="0.25">
      <c r="A7" s="319"/>
      <c r="B7" s="13" t="s">
        <v>153</v>
      </c>
      <c r="C7" s="61">
        <f>+C4+C5*C2</f>
        <v>20.36</v>
      </c>
      <c r="D7">
        <f>+D4+D5*D2</f>
        <v>21.36</v>
      </c>
      <c r="E7" s="61">
        <f>+E4+E5*E2</f>
        <v>37.86</v>
      </c>
      <c r="F7" t="s">
        <v>157</v>
      </c>
    </row>
    <row r="8" spans="1:6" x14ac:dyDescent="0.25">
      <c r="A8" s="319"/>
      <c r="B8" s="13" t="s">
        <v>154</v>
      </c>
      <c r="C8" s="61">
        <f>+C3*C7</f>
        <v>13.234</v>
      </c>
      <c r="D8">
        <f>+D3*D7</f>
        <v>13.234</v>
      </c>
      <c r="E8" s="61">
        <f>+E3*E7</f>
        <v>13.234</v>
      </c>
    </row>
    <row r="9" spans="1:6" x14ac:dyDescent="0.25">
      <c r="A9" s="319"/>
      <c r="C9" s="61"/>
      <c r="E9" s="61"/>
    </row>
    <row r="10" spans="1:6" x14ac:dyDescent="0.25">
      <c r="A10" s="319"/>
      <c r="B10" s="13"/>
      <c r="C10" s="57"/>
      <c r="E10" s="61"/>
    </row>
    <row r="11" spans="1:6" x14ac:dyDescent="0.25">
      <c r="A11" s="319"/>
      <c r="B11" s="13"/>
      <c r="C11" s="57"/>
      <c r="E11" s="61"/>
    </row>
    <row r="12" spans="1:6" x14ac:dyDescent="0.25">
      <c r="A12" s="319"/>
      <c r="B12" s="13"/>
      <c r="C12" s="57"/>
      <c r="D12" s="61"/>
      <c r="E12" s="61"/>
    </row>
    <row r="13" spans="1:6" x14ac:dyDescent="0.25">
      <c r="A13" s="319"/>
      <c r="B13" s="13"/>
      <c r="C13" s="61"/>
      <c r="E13" s="61"/>
    </row>
    <row r="14" spans="1:6" x14ac:dyDescent="0.25">
      <c r="A14" s="319"/>
      <c r="B14" s="13"/>
      <c r="C14" s="61"/>
      <c r="E14" s="61"/>
    </row>
    <row r="15" spans="1:6" x14ac:dyDescent="0.25">
      <c r="A15" s="319"/>
      <c r="B15" s="13"/>
      <c r="C15" s="61"/>
      <c r="E15" s="61"/>
    </row>
  </sheetData>
  <mergeCells count="2">
    <mergeCell ref="A2:A8"/>
    <mergeCell ref="A9:A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2"/>
  <sheetViews>
    <sheetView topLeftCell="F1" zoomScale="75" zoomScaleNormal="75" workbookViewId="0">
      <selection activeCell="P1" sqref="P1"/>
    </sheetView>
  </sheetViews>
  <sheetFormatPr baseColWidth="10" defaultRowHeight="15" x14ac:dyDescent="0.25"/>
  <cols>
    <col min="1" max="1" width="11.85546875" bestFit="1" customWidth="1"/>
    <col min="2" max="2" width="16.140625" bestFit="1" customWidth="1"/>
    <col min="3" max="3" width="16.85546875" bestFit="1" customWidth="1"/>
    <col min="4" max="4" width="8.28515625" customWidth="1"/>
    <col min="5" max="6" width="4.28515625" bestFit="1" customWidth="1"/>
    <col min="7" max="7" width="4.7109375" customWidth="1"/>
    <col min="8" max="8" width="10.28515625" customWidth="1"/>
    <col min="9" max="9" width="10.85546875" bestFit="1" customWidth="1"/>
    <col min="10" max="10" width="9.42578125" bestFit="1" customWidth="1"/>
    <col min="11" max="11" width="10.85546875" customWidth="1"/>
    <col min="12" max="12" width="9.42578125" bestFit="1" customWidth="1"/>
    <col min="13" max="13" width="10.85546875" customWidth="1"/>
    <col min="15" max="15" width="11.42578125" customWidth="1"/>
  </cols>
  <sheetData>
    <row r="1" spans="1:15" x14ac:dyDescent="0.25">
      <c r="A1" t="s">
        <v>5</v>
      </c>
      <c r="J1" s="310" t="s">
        <v>37</v>
      </c>
      <c r="K1" s="310"/>
      <c r="L1" s="32" t="s">
        <v>38</v>
      </c>
      <c r="M1" s="32"/>
      <c r="O1" t="s">
        <v>66</v>
      </c>
    </row>
    <row r="2" spans="1:15" x14ac:dyDescent="0.25">
      <c r="A2" t="s">
        <v>0</v>
      </c>
      <c r="B2" t="s">
        <v>1</v>
      </c>
      <c r="C2" t="s">
        <v>2</v>
      </c>
      <c r="D2" t="s">
        <v>4</v>
      </c>
      <c r="I2" t="s">
        <v>21</v>
      </c>
      <c r="J2" t="s">
        <v>18</v>
      </c>
      <c r="K2" t="s">
        <v>20</v>
      </c>
      <c r="L2" t="s">
        <v>18</v>
      </c>
      <c r="M2" t="s">
        <v>20</v>
      </c>
    </row>
    <row r="3" spans="1:15" x14ac:dyDescent="0.25">
      <c r="A3">
        <f>18-C3</f>
        <v>6</v>
      </c>
      <c r="B3">
        <f>9-C3/2</f>
        <v>3</v>
      </c>
      <c r="C3">
        <v>12</v>
      </c>
      <c r="D3">
        <f>+A3*4+B3*4</f>
        <v>36</v>
      </c>
      <c r="I3" t="s">
        <v>19</v>
      </c>
      <c r="J3" t="s">
        <v>22</v>
      </c>
      <c r="K3" t="s">
        <v>23</v>
      </c>
      <c r="L3" t="s">
        <v>40</v>
      </c>
      <c r="M3" t="s">
        <v>39</v>
      </c>
    </row>
    <row r="4" spans="1:15" x14ac:dyDescent="0.25">
      <c r="A4">
        <f>18-C4</f>
        <v>5</v>
      </c>
      <c r="B4">
        <f>9-C4/2</f>
        <v>2.5</v>
      </c>
      <c r="C4">
        <v>13</v>
      </c>
      <c r="D4">
        <f>+A4*4+B4*4</f>
        <v>30</v>
      </c>
      <c r="I4">
        <v>0</v>
      </c>
      <c r="J4">
        <f>18*I4-POWER(I4,2)/2</f>
        <v>0</v>
      </c>
      <c r="K4">
        <f>18-I4</f>
        <v>18</v>
      </c>
      <c r="L4">
        <f>18*I4-POWER(I4,2)</f>
        <v>0</v>
      </c>
      <c r="M4">
        <f>18-2*I4</f>
        <v>18</v>
      </c>
    </row>
    <row r="5" spans="1:15" x14ac:dyDescent="0.25">
      <c r="A5">
        <f>18-C5</f>
        <v>4</v>
      </c>
      <c r="B5">
        <f>9-C5/2</f>
        <v>2</v>
      </c>
      <c r="C5">
        <v>14</v>
      </c>
      <c r="D5">
        <f>+A5*4+B5*4</f>
        <v>24</v>
      </c>
      <c r="I5">
        <v>1</v>
      </c>
      <c r="J5">
        <f>18*I5-POWER(I5,2)/2</f>
        <v>17.5</v>
      </c>
      <c r="K5">
        <f t="shared" ref="K5:K24" si="0">18-I5</f>
        <v>17</v>
      </c>
      <c r="L5">
        <f t="shared" ref="L5:L24" si="1">18*I5-POWER(I5,2)</f>
        <v>17</v>
      </c>
      <c r="M5">
        <f t="shared" ref="M5:M24" si="2">18-2*I5</f>
        <v>16</v>
      </c>
    </row>
    <row r="6" spans="1:15" x14ac:dyDescent="0.25">
      <c r="I6">
        <v>2</v>
      </c>
      <c r="J6">
        <f t="shared" ref="J6:J24" si="3">18*I6-POWER(I6,2)/2</f>
        <v>34</v>
      </c>
      <c r="K6">
        <f t="shared" si="0"/>
        <v>16</v>
      </c>
      <c r="L6">
        <f t="shared" si="1"/>
        <v>32</v>
      </c>
      <c r="M6">
        <f t="shared" si="2"/>
        <v>14</v>
      </c>
    </row>
    <row r="7" spans="1:15" x14ac:dyDescent="0.25">
      <c r="I7">
        <v>3</v>
      </c>
      <c r="J7">
        <f t="shared" si="3"/>
        <v>49.5</v>
      </c>
      <c r="K7">
        <f t="shared" si="0"/>
        <v>15</v>
      </c>
      <c r="L7" s="7">
        <f t="shared" si="1"/>
        <v>45</v>
      </c>
      <c r="M7">
        <f t="shared" si="2"/>
        <v>12</v>
      </c>
    </row>
    <row r="8" spans="1:15" x14ac:dyDescent="0.25">
      <c r="A8" t="s">
        <v>6</v>
      </c>
      <c r="B8">
        <v>4</v>
      </c>
      <c r="C8">
        <v>5</v>
      </c>
      <c r="G8" t="s">
        <v>14</v>
      </c>
      <c r="I8">
        <v>4</v>
      </c>
      <c r="J8">
        <f t="shared" si="3"/>
        <v>64</v>
      </c>
      <c r="K8">
        <f t="shared" si="0"/>
        <v>14</v>
      </c>
      <c r="L8" s="7">
        <f t="shared" si="1"/>
        <v>56</v>
      </c>
      <c r="M8">
        <f t="shared" si="2"/>
        <v>10</v>
      </c>
    </row>
    <row r="9" spans="1:15" x14ac:dyDescent="0.25">
      <c r="A9" t="s">
        <v>7</v>
      </c>
      <c r="B9">
        <v>4</v>
      </c>
      <c r="C9">
        <v>5</v>
      </c>
      <c r="G9" t="s">
        <v>15</v>
      </c>
      <c r="I9">
        <v>5</v>
      </c>
      <c r="J9">
        <f t="shared" si="3"/>
        <v>77.5</v>
      </c>
      <c r="K9">
        <f t="shared" si="0"/>
        <v>13</v>
      </c>
      <c r="L9" s="7">
        <f t="shared" si="1"/>
        <v>65</v>
      </c>
      <c r="M9">
        <f t="shared" si="2"/>
        <v>8</v>
      </c>
    </row>
    <row r="10" spans="1:15" x14ac:dyDescent="0.25">
      <c r="A10" t="s">
        <v>8</v>
      </c>
      <c r="B10">
        <v>4</v>
      </c>
      <c r="C10">
        <v>5</v>
      </c>
      <c r="G10" t="s">
        <v>16</v>
      </c>
      <c r="I10">
        <v>6</v>
      </c>
      <c r="J10">
        <f t="shared" si="3"/>
        <v>90</v>
      </c>
      <c r="K10">
        <f t="shared" si="0"/>
        <v>12</v>
      </c>
      <c r="L10">
        <f t="shared" si="1"/>
        <v>72</v>
      </c>
      <c r="M10">
        <f t="shared" si="2"/>
        <v>6</v>
      </c>
    </row>
    <row r="11" spans="1:15" x14ac:dyDescent="0.25">
      <c r="A11" t="s">
        <v>9</v>
      </c>
      <c r="B11">
        <v>4</v>
      </c>
      <c r="C11">
        <v>5</v>
      </c>
      <c r="G11" t="s">
        <v>17</v>
      </c>
      <c r="I11">
        <v>7</v>
      </c>
      <c r="J11">
        <f t="shared" si="3"/>
        <v>101.5</v>
      </c>
      <c r="K11">
        <f t="shared" si="0"/>
        <v>11</v>
      </c>
      <c r="L11">
        <f t="shared" si="1"/>
        <v>77</v>
      </c>
      <c r="M11">
        <f t="shared" si="2"/>
        <v>4</v>
      </c>
    </row>
    <row r="12" spans="1:15" x14ac:dyDescent="0.25">
      <c r="A12" t="s">
        <v>10</v>
      </c>
      <c r="B12">
        <v>3</v>
      </c>
      <c r="C12">
        <v>2</v>
      </c>
      <c r="I12">
        <v>8</v>
      </c>
      <c r="J12">
        <f t="shared" si="3"/>
        <v>112</v>
      </c>
      <c r="K12">
        <f t="shared" si="0"/>
        <v>10</v>
      </c>
      <c r="L12">
        <f t="shared" si="1"/>
        <v>80</v>
      </c>
      <c r="M12">
        <f t="shared" si="2"/>
        <v>2</v>
      </c>
    </row>
    <row r="13" spans="1:15" x14ac:dyDescent="0.25">
      <c r="A13" t="s">
        <v>11</v>
      </c>
      <c r="B13">
        <v>3</v>
      </c>
      <c r="C13">
        <v>2</v>
      </c>
      <c r="I13">
        <v>9</v>
      </c>
      <c r="J13">
        <f t="shared" si="3"/>
        <v>121.5</v>
      </c>
      <c r="K13">
        <f t="shared" si="0"/>
        <v>9</v>
      </c>
      <c r="L13">
        <f t="shared" si="1"/>
        <v>81</v>
      </c>
      <c r="M13">
        <f t="shared" si="2"/>
        <v>0</v>
      </c>
    </row>
    <row r="14" spans="1:15" x14ac:dyDescent="0.25">
      <c r="A14" t="s">
        <v>12</v>
      </c>
      <c r="B14">
        <v>3</v>
      </c>
      <c r="C14">
        <v>2</v>
      </c>
      <c r="I14">
        <v>10</v>
      </c>
      <c r="J14">
        <f t="shared" si="3"/>
        <v>130</v>
      </c>
      <c r="K14">
        <f t="shared" si="0"/>
        <v>8</v>
      </c>
      <c r="L14">
        <f t="shared" si="1"/>
        <v>80</v>
      </c>
      <c r="M14">
        <f t="shared" si="2"/>
        <v>-2</v>
      </c>
    </row>
    <row r="15" spans="1:15" x14ac:dyDescent="0.25">
      <c r="A15" t="s">
        <v>13</v>
      </c>
      <c r="B15">
        <v>3</v>
      </c>
      <c r="C15">
        <v>2</v>
      </c>
      <c r="I15">
        <v>11</v>
      </c>
      <c r="J15">
        <f t="shared" si="3"/>
        <v>137.5</v>
      </c>
      <c r="K15">
        <f t="shared" si="0"/>
        <v>7</v>
      </c>
      <c r="L15">
        <f t="shared" si="1"/>
        <v>77</v>
      </c>
      <c r="M15">
        <f t="shared" si="2"/>
        <v>-4</v>
      </c>
    </row>
    <row r="16" spans="1:15" x14ac:dyDescent="0.25">
      <c r="A16" t="s">
        <v>3</v>
      </c>
      <c r="B16">
        <f>SUM(B8:B15)</f>
        <v>28</v>
      </c>
      <c r="C16">
        <f>SUM(C8:C15)</f>
        <v>28</v>
      </c>
      <c r="I16">
        <v>12</v>
      </c>
      <c r="J16">
        <f t="shared" si="3"/>
        <v>144</v>
      </c>
      <c r="K16">
        <f t="shared" si="0"/>
        <v>6</v>
      </c>
      <c r="L16">
        <f t="shared" si="1"/>
        <v>72</v>
      </c>
      <c r="M16">
        <f t="shared" si="2"/>
        <v>-6</v>
      </c>
    </row>
    <row r="17" spans="1:15" x14ac:dyDescent="0.25">
      <c r="A17" t="s">
        <v>2</v>
      </c>
      <c r="B17">
        <f>(27-B16/4)*2/3</f>
        <v>13.333333333333334</v>
      </c>
      <c r="C17">
        <f>(27-C16/4)*2/3</f>
        <v>13.333333333333334</v>
      </c>
      <c r="I17">
        <v>13</v>
      </c>
      <c r="J17">
        <f t="shared" si="3"/>
        <v>149.5</v>
      </c>
      <c r="K17">
        <f t="shared" si="0"/>
        <v>5</v>
      </c>
      <c r="L17">
        <f t="shared" si="1"/>
        <v>65</v>
      </c>
      <c r="M17">
        <f t="shared" si="2"/>
        <v>-8</v>
      </c>
    </row>
    <row r="18" spans="1:15" x14ac:dyDescent="0.25">
      <c r="I18">
        <v>14</v>
      </c>
      <c r="J18">
        <f t="shared" si="3"/>
        <v>154</v>
      </c>
      <c r="K18">
        <f t="shared" si="0"/>
        <v>4</v>
      </c>
      <c r="L18">
        <f t="shared" si="1"/>
        <v>56</v>
      </c>
      <c r="M18">
        <f t="shared" si="2"/>
        <v>-10</v>
      </c>
    </row>
    <row r="19" spans="1:15" x14ac:dyDescent="0.25">
      <c r="I19">
        <v>15</v>
      </c>
      <c r="J19">
        <f t="shared" si="3"/>
        <v>157.5</v>
      </c>
      <c r="K19">
        <f t="shared" si="0"/>
        <v>3</v>
      </c>
      <c r="L19">
        <f t="shared" si="1"/>
        <v>45</v>
      </c>
      <c r="M19">
        <f t="shared" si="2"/>
        <v>-12</v>
      </c>
    </row>
    <row r="20" spans="1:15" x14ac:dyDescent="0.25">
      <c r="D20" s="45"/>
      <c r="I20">
        <v>16</v>
      </c>
      <c r="J20">
        <f t="shared" si="3"/>
        <v>160</v>
      </c>
      <c r="K20">
        <f t="shared" si="0"/>
        <v>2</v>
      </c>
      <c r="L20">
        <f t="shared" si="1"/>
        <v>32</v>
      </c>
      <c r="M20">
        <f t="shared" si="2"/>
        <v>-14</v>
      </c>
    </row>
    <row r="21" spans="1:15" x14ac:dyDescent="0.25">
      <c r="I21">
        <v>17</v>
      </c>
      <c r="J21">
        <f t="shared" si="3"/>
        <v>161.5</v>
      </c>
      <c r="K21">
        <f t="shared" si="0"/>
        <v>1</v>
      </c>
      <c r="L21">
        <f t="shared" si="1"/>
        <v>17</v>
      </c>
      <c r="M21">
        <f t="shared" si="2"/>
        <v>-16</v>
      </c>
    </row>
    <row r="22" spans="1:15" x14ac:dyDescent="0.25">
      <c r="I22">
        <v>18</v>
      </c>
      <c r="J22">
        <f t="shared" si="3"/>
        <v>162</v>
      </c>
      <c r="K22">
        <f t="shared" si="0"/>
        <v>0</v>
      </c>
      <c r="L22">
        <f t="shared" si="1"/>
        <v>0</v>
      </c>
      <c r="M22">
        <f t="shared" si="2"/>
        <v>-18</v>
      </c>
    </row>
    <row r="23" spans="1:15" x14ac:dyDescent="0.25">
      <c r="I23">
        <v>19</v>
      </c>
      <c r="J23">
        <f t="shared" si="3"/>
        <v>161.5</v>
      </c>
      <c r="K23">
        <f t="shared" si="0"/>
        <v>-1</v>
      </c>
      <c r="L23">
        <f t="shared" si="1"/>
        <v>-19</v>
      </c>
      <c r="M23">
        <f t="shared" si="2"/>
        <v>-20</v>
      </c>
    </row>
    <row r="24" spans="1:15" x14ac:dyDescent="0.25">
      <c r="I24">
        <v>20</v>
      </c>
      <c r="J24">
        <f t="shared" si="3"/>
        <v>160</v>
      </c>
      <c r="K24">
        <f t="shared" si="0"/>
        <v>-2</v>
      </c>
      <c r="L24">
        <f t="shared" si="1"/>
        <v>-40</v>
      </c>
      <c r="M24">
        <f t="shared" si="2"/>
        <v>-22</v>
      </c>
    </row>
    <row r="26" spans="1:15" x14ac:dyDescent="0.25">
      <c r="A26" s="1" t="s">
        <v>24</v>
      </c>
    </row>
    <row r="27" spans="1:15" x14ac:dyDescent="0.25">
      <c r="A27" t="s">
        <v>26</v>
      </c>
    </row>
    <row r="28" spans="1:15" x14ac:dyDescent="0.25">
      <c r="A28" t="s">
        <v>25</v>
      </c>
      <c r="H28" s="1" t="s">
        <v>31</v>
      </c>
    </row>
    <row r="29" spans="1:15" x14ac:dyDescent="0.25">
      <c r="A29" s="33" t="s">
        <v>27</v>
      </c>
      <c r="B29" s="33" t="s">
        <v>44</v>
      </c>
      <c r="C29" s="33" t="s">
        <v>43</v>
      </c>
      <c r="D29" s="33" t="s">
        <v>28</v>
      </c>
      <c r="E29" s="33" t="s">
        <v>29</v>
      </c>
      <c r="F29" s="33" t="s">
        <v>8</v>
      </c>
      <c r="G29" s="33" t="s">
        <v>9</v>
      </c>
      <c r="H29" s="33" t="s">
        <v>30</v>
      </c>
      <c r="I29" s="33" t="s">
        <v>41</v>
      </c>
      <c r="J29" s="33" t="s">
        <v>32</v>
      </c>
      <c r="K29" s="33" t="s">
        <v>33</v>
      </c>
      <c r="L29" s="33" t="s">
        <v>34</v>
      </c>
      <c r="M29" s="33" t="s">
        <v>35</v>
      </c>
      <c r="N29" s="33" t="s">
        <v>36</v>
      </c>
      <c r="O29" s="33" t="s">
        <v>42</v>
      </c>
    </row>
    <row r="30" spans="1:15" x14ac:dyDescent="0.25">
      <c r="A30" t="e">
        <f>18-(#REF!/4)</f>
        <v>#REF!</v>
      </c>
      <c r="C30">
        <f>18-(G30+1)</f>
        <v>17</v>
      </c>
      <c r="D30" s="3">
        <v>0</v>
      </c>
      <c r="E30" s="4">
        <v>0</v>
      </c>
      <c r="F30" s="4">
        <v>0</v>
      </c>
      <c r="G30" s="4">
        <v>0</v>
      </c>
      <c r="H30">
        <f>SUM(D30:G30)</f>
        <v>0</v>
      </c>
      <c r="I30" s="33"/>
      <c r="J30" s="33"/>
      <c r="K30" s="33"/>
      <c r="L30" s="33"/>
      <c r="M30" s="33"/>
      <c r="N30" s="33"/>
    </row>
    <row r="31" spans="1:15" x14ac:dyDescent="0.25">
      <c r="A31" t="e">
        <f>18-(#REF!/4)</f>
        <v>#REF!</v>
      </c>
      <c r="C31">
        <f t="shared" ref="C31:C54" si="4">18-(G31+1)</f>
        <v>17</v>
      </c>
      <c r="D31" s="4">
        <v>1</v>
      </c>
      <c r="E31" s="3">
        <v>0</v>
      </c>
      <c r="F31" s="4">
        <v>0</v>
      </c>
      <c r="G31" s="4">
        <v>0</v>
      </c>
      <c r="H31">
        <f t="shared" ref="H31:H54" si="5">SUM(D31:G31)</f>
        <v>1</v>
      </c>
      <c r="I31" s="33"/>
      <c r="J31" s="33"/>
      <c r="K31" s="33"/>
      <c r="L31" s="33"/>
      <c r="M31" s="33"/>
      <c r="N31" s="33"/>
    </row>
    <row r="32" spans="1:15" x14ac:dyDescent="0.25">
      <c r="A32" t="e">
        <f>18-(#REF!/4)</f>
        <v>#REF!</v>
      </c>
      <c r="C32">
        <f t="shared" si="4"/>
        <v>17</v>
      </c>
      <c r="D32" s="4">
        <v>1</v>
      </c>
      <c r="E32" s="4">
        <v>1</v>
      </c>
      <c r="F32" s="3">
        <v>0</v>
      </c>
      <c r="G32" s="4">
        <v>0</v>
      </c>
      <c r="H32">
        <f t="shared" si="5"/>
        <v>2</v>
      </c>
      <c r="I32" s="33"/>
      <c r="J32" s="33"/>
      <c r="K32" s="33"/>
      <c r="L32" s="33"/>
      <c r="M32" s="33"/>
      <c r="N32" s="33"/>
    </row>
    <row r="33" spans="1:15" x14ac:dyDescent="0.25">
      <c r="A33" t="e">
        <f>18-(#REF!/4)</f>
        <v>#REF!</v>
      </c>
      <c r="C33">
        <f t="shared" si="4"/>
        <v>17</v>
      </c>
      <c r="D33" s="4">
        <v>1</v>
      </c>
      <c r="E33" s="4">
        <v>1</v>
      </c>
      <c r="F33" s="4">
        <v>1</v>
      </c>
      <c r="G33" s="3">
        <v>0</v>
      </c>
      <c r="H33">
        <f t="shared" si="5"/>
        <v>3</v>
      </c>
      <c r="I33" s="33"/>
      <c r="J33" s="33"/>
      <c r="K33" s="33"/>
      <c r="L33" s="33"/>
      <c r="M33" s="33"/>
      <c r="N33" s="33"/>
    </row>
    <row r="34" spans="1:15" x14ac:dyDescent="0.25">
      <c r="A34" t="e">
        <f>18-(#REF!/4)</f>
        <v>#REF!</v>
      </c>
      <c r="C34">
        <f t="shared" si="4"/>
        <v>16</v>
      </c>
      <c r="D34" s="4">
        <v>1</v>
      </c>
      <c r="E34" s="4">
        <v>1</v>
      </c>
      <c r="F34" s="4">
        <v>1</v>
      </c>
      <c r="G34" s="4">
        <v>1</v>
      </c>
      <c r="H34">
        <f t="shared" si="5"/>
        <v>4</v>
      </c>
      <c r="I34">
        <f>18-2*M34</f>
        <v>18</v>
      </c>
      <c r="J34" s="3">
        <v>0</v>
      </c>
      <c r="K34" s="4">
        <v>0</v>
      </c>
      <c r="L34" s="4">
        <v>0</v>
      </c>
      <c r="M34" s="4">
        <v>0</v>
      </c>
      <c r="N34">
        <f>SUM(J34:M34)</f>
        <v>0</v>
      </c>
      <c r="O34">
        <f>+N34+H34</f>
        <v>4</v>
      </c>
    </row>
    <row r="35" spans="1:15" x14ac:dyDescent="0.25">
      <c r="A35" t="e">
        <f>18-(#REF!/4)</f>
        <v>#REF!</v>
      </c>
      <c r="C35">
        <f t="shared" si="4"/>
        <v>16</v>
      </c>
      <c r="D35" s="4">
        <v>2</v>
      </c>
      <c r="E35" s="4">
        <v>1</v>
      </c>
      <c r="F35" s="4">
        <v>1</v>
      </c>
      <c r="G35" s="4">
        <v>1</v>
      </c>
      <c r="H35">
        <f t="shared" si="5"/>
        <v>5</v>
      </c>
      <c r="I35">
        <f t="shared" ref="I35:I58" si="6">18-2*M35</f>
        <v>18</v>
      </c>
      <c r="J35" s="4">
        <v>1</v>
      </c>
      <c r="K35" s="3">
        <v>0</v>
      </c>
      <c r="L35" s="4">
        <v>0</v>
      </c>
      <c r="M35" s="4">
        <v>0</v>
      </c>
      <c r="N35">
        <f t="shared" ref="N35:N58" si="7">SUM(J35:M35)</f>
        <v>1</v>
      </c>
      <c r="O35">
        <f t="shared" ref="O35:O53" si="8">+N35+H35</f>
        <v>6</v>
      </c>
    </row>
    <row r="36" spans="1:15" x14ac:dyDescent="0.25">
      <c r="A36" t="e">
        <f>18-(#REF!/4)</f>
        <v>#REF!</v>
      </c>
      <c r="C36">
        <f t="shared" si="4"/>
        <v>16</v>
      </c>
      <c r="D36" s="4">
        <v>2</v>
      </c>
      <c r="E36" s="4">
        <v>2</v>
      </c>
      <c r="F36" s="4">
        <v>1</v>
      </c>
      <c r="G36" s="4">
        <v>1</v>
      </c>
      <c r="H36">
        <f t="shared" si="5"/>
        <v>6</v>
      </c>
      <c r="I36">
        <f t="shared" si="6"/>
        <v>18</v>
      </c>
      <c r="J36" s="4">
        <v>1</v>
      </c>
      <c r="K36" s="4">
        <v>1</v>
      </c>
      <c r="L36" s="3">
        <v>0</v>
      </c>
      <c r="M36" s="4">
        <v>0</v>
      </c>
      <c r="N36">
        <f t="shared" si="7"/>
        <v>2</v>
      </c>
      <c r="O36">
        <f t="shared" si="8"/>
        <v>8</v>
      </c>
    </row>
    <row r="37" spans="1:15" x14ac:dyDescent="0.25">
      <c r="A37" t="e">
        <f>18-(#REF!/4)</f>
        <v>#REF!</v>
      </c>
      <c r="C37">
        <f t="shared" si="4"/>
        <v>16</v>
      </c>
      <c r="D37" s="4">
        <v>2</v>
      </c>
      <c r="E37" s="4">
        <v>2</v>
      </c>
      <c r="F37" s="4">
        <v>2</v>
      </c>
      <c r="G37" s="4">
        <v>1</v>
      </c>
      <c r="H37">
        <f t="shared" si="5"/>
        <v>7</v>
      </c>
      <c r="I37">
        <f t="shared" si="6"/>
        <v>18</v>
      </c>
      <c r="J37" s="4">
        <v>1</v>
      </c>
      <c r="K37" s="4">
        <v>1</v>
      </c>
      <c r="L37" s="4">
        <v>1</v>
      </c>
      <c r="M37" s="3">
        <v>0</v>
      </c>
      <c r="N37">
        <f t="shared" si="7"/>
        <v>3</v>
      </c>
      <c r="O37">
        <f t="shared" si="8"/>
        <v>10</v>
      </c>
    </row>
    <row r="38" spans="1:15" x14ac:dyDescent="0.25">
      <c r="A38" t="e">
        <f>18-(#REF!/4)</f>
        <v>#REF!</v>
      </c>
      <c r="C38">
        <f t="shared" si="4"/>
        <v>15</v>
      </c>
      <c r="D38" s="4">
        <v>2</v>
      </c>
      <c r="E38" s="4">
        <v>2</v>
      </c>
      <c r="F38" s="4">
        <v>2</v>
      </c>
      <c r="G38" s="4">
        <v>2</v>
      </c>
      <c r="H38">
        <f t="shared" si="5"/>
        <v>8</v>
      </c>
      <c r="I38">
        <f t="shared" si="6"/>
        <v>16</v>
      </c>
      <c r="J38" s="4">
        <v>1</v>
      </c>
      <c r="K38" s="4">
        <v>1</v>
      </c>
      <c r="L38" s="4">
        <v>1</v>
      </c>
      <c r="M38" s="4">
        <v>1</v>
      </c>
      <c r="N38">
        <f t="shared" si="7"/>
        <v>4</v>
      </c>
      <c r="O38">
        <f t="shared" si="8"/>
        <v>12</v>
      </c>
    </row>
    <row r="39" spans="1:15" x14ac:dyDescent="0.25">
      <c r="A39" t="e">
        <f>18-(#REF!/4)</f>
        <v>#REF!</v>
      </c>
      <c r="C39">
        <f t="shared" si="4"/>
        <v>15</v>
      </c>
      <c r="D39" s="4">
        <v>3</v>
      </c>
      <c r="E39" s="4">
        <v>2</v>
      </c>
      <c r="F39" s="4">
        <v>2</v>
      </c>
      <c r="G39" s="4">
        <v>2</v>
      </c>
      <c r="H39">
        <f t="shared" si="5"/>
        <v>9</v>
      </c>
      <c r="I39">
        <f t="shared" si="6"/>
        <v>16</v>
      </c>
      <c r="J39" s="4">
        <v>2</v>
      </c>
      <c r="K39" s="4">
        <v>1</v>
      </c>
      <c r="L39" s="4">
        <v>1</v>
      </c>
      <c r="M39" s="4">
        <v>1</v>
      </c>
      <c r="N39">
        <f t="shared" si="7"/>
        <v>5</v>
      </c>
      <c r="O39">
        <f t="shared" si="8"/>
        <v>14</v>
      </c>
    </row>
    <row r="40" spans="1:15" x14ac:dyDescent="0.25">
      <c r="A40" t="e">
        <f>18-(#REF!/4)</f>
        <v>#REF!</v>
      </c>
      <c r="C40">
        <f t="shared" si="4"/>
        <v>15</v>
      </c>
      <c r="D40" s="4">
        <v>3</v>
      </c>
      <c r="E40" s="4">
        <v>3</v>
      </c>
      <c r="F40" s="4">
        <v>2</v>
      </c>
      <c r="G40" s="4">
        <v>2</v>
      </c>
      <c r="H40">
        <f t="shared" si="5"/>
        <v>10</v>
      </c>
      <c r="I40">
        <f t="shared" si="6"/>
        <v>16</v>
      </c>
      <c r="J40" s="4">
        <v>2</v>
      </c>
      <c r="K40" s="4">
        <v>2</v>
      </c>
      <c r="L40" s="4">
        <v>1</v>
      </c>
      <c r="M40" s="4">
        <v>1</v>
      </c>
      <c r="N40">
        <f t="shared" si="7"/>
        <v>6</v>
      </c>
      <c r="O40">
        <f t="shared" si="8"/>
        <v>16</v>
      </c>
    </row>
    <row r="41" spans="1:15" x14ac:dyDescent="0.25">
      <c r="A41" t="e">
        <f>18-(#REF!/4)</f>
        <v>#REF!</v>
      </c>
      <c r="C41">
        <f t="shared" si="4"/>
        <v>15</v>
      </c>
      <c r="D41" s="4">
        <v>3</v>
      </c>
      <c r="E41" s="4">
        <v>3</v>
      </c>
      <c r="F41" s="4">
        <v>3</v>
      </c>
      <c r="G41" s="4">
        <v>2</v>
      </c>
      <c r="H41">
        <f t="shared" si="5"/>
        <v>11</v>
      </c>
      <c r="I41">
        <f t="shared" si="6"/>
        <v>16</v>
      </c>
      <c r="J41" s="4">
        <v>2</v>
      </c>
      <c r="K41" s="4">
        <v>2</v>
      </c>
      <c r="L41" s="4">
        <v>2</v>
      </c>
      <c r="M41" s="4">
        <v>1</v>
      </c>
      <c r="N41">
        <f t="shared" si="7"/>
        <v>7</v>
      </c>
      <c r="O41">
        <f t="shared" si="8"/>
        <v>18</v>
      </c>
    </row>
    <row r="42" spans="1:15" x14ac:dyDescent="0.25">
      <c r="A42" t="e">
        <f>18-(#REF!/4)</f>
        <v>#REF!</v>
      </c>
      <c r="C42">
        <f t="shared" si="4"/>
        <v>14</v>
      </c>
      <c r="D42" s="6">
        <v>3</v>
      </c>
      <c r="E42" s="6">
        <v>3</v>
      </c>
      <c r="F42" s="6">
        <v>3</v>
      </c>
      <c r="G42" s="6">
        <v>3</v>
      </c>
      <c r="H42" s="5">
        <f t="shared" si="5"/>
        <v>12</v>
      </c>
      <c r="I42">
        <f t="shared" si="6"/>
        <v>14</v>
      </c>
      <c r="J42" s="4">
        <v>2</v>
      </c>
      <c r="K42" s="4">
        <v>2</v>
      </c>
      <c r="L42" s="4">
        <v>2</v>
      </c>
      <c r="M42" s="4">
        <v>2</v>
      </c>
      <c r="N42">
        <f t="shared" si="7"/>
        <v>8</v>
      </c>
      <c r="O42">
        <f t="shared" si="8"/>
        <v>20</v>
      </c>
    </row>
    <row r="43" spans="1:15" x14ac:dyDescent="0.25">
      <c r="A43" t="e">
        <f>18-(#REF!/4)</f>
        <v>#REF!</v>
      </c>
      <c r="C43">
        <f t="shared" si="4"/>
        <v>14</v>
      </c>
      <c r="D43" s="4">
        <v>4</v>
      </c>
      <c r="E43" s="4">
        <v>3</v>
      </c>
      <c r="F43" s="4">
        <v>3</v>
      </c>
      <c r="G43" s="4">
        <v>3</v>
      </c>
      <c r="H43">
        <f t="shared" si="5"/>
        <v>13</v>
      </c>
      <c r="I43">
        <f t="shared" si="6"/>
        <v>14</v>
      </c>
      <c r="J43" s="4">
        <v>3</v>
      </c>
      <c r="K43" s="4">
        <v>2</v>
      </c>
      <c r="L43" s="4">
        <v>2</v>
      </c>
      <c r="M43" s="4">
        <v>2</v>
      </c>
      <c r="N43">
        <f t="shared" si="7"/>
        <v>9</v>
      </c>
      <c r="O43">
        <f t="shared" si="8"/>
        <v>22</v>
      </c>
    </row>
    <row r="44" spans="1:15" x14ac:dyDescent="0.25">
      <c r="A44" t="e">
        <f>18-(#REF!/4)</f>
        <v>#REF!</v>
      </c>
      <c r="C44">
        <f t="shared" si="4"/>
        <v>14</v>
      </c>
      <c r="D44" s="4">
        <v>4</v>
      </c>
      <c r="E44" s="4">
        <v>4</v>
      </c>
      <c r="F44" s="4">
        <v>3</v>
      </c>
      <c r="G44" s="4">
        <v>3</v>
      </c>
      <c r="H44">
        <f t="shared" si="5"/>
        <v>14</v>
      </c>
      <c r="I44">
        <f t="shared" si="6"/>
        <v>14</v>
      </c>
      <c r="J44" s="4">
        <v>3</v>
      </c>
      <c r="K44" s="4">
        <v>3</v>
      </c>
      <c r="L44" s="4">
        <v>2</v>
      </c>
      <c r="M44" s="4">
        <v>2</v>
      </c>
      <c r="N44">
        <f t="shared" si="7"/>
        <v>10</v>
      </c>
      <c r="O44">
        <f t="shared" si="8"/>
        <v>24</v>
      </c>
    </row>
    <row r="45" spans="1:15" x14ac:dyDescent="0.25">
      <c r="A45" t="e">
        <f>18-(#REF!/4)</f>
        <v>#REF!</v>
      </c>
      <c r="C45">
        <f t="shared" si="4"/>
        <v>14</v>
      </c>
      <c r="D45" s="4">
        <v>4</v>
      </c>
      <c r="E45" s="4">
        <v>4</v>
      </c>
      <c r="F45" s="4">
        <v>4</v>
      </c>
      <c r="G45" s="4">
        <v>3</v>
      </c>
      <c r="H45">
        <f t="shared" si="5"/>
        <v>15</v>
      </c>
      <c r="I45">
        <f t="shared" si="6"/>
        <v>14</v>
      </c>
      <c r="J45" s="4">
        <v>3</v>
      </c>
      <c r="K45" s="4">
        <v>3</v>
      </c>
      <c r="L45" s="4">
        <v>3</v>
      </c>
      <c r="M45" s="4">
        <v>2</v>
      </c>
      <c r="N45">
        <f t="shared" si="7"/>
        <v>11</v>
      </c>
      <c r="O45">
        <f t="shared" si="8"/>
        <v>26</v>
      </c>
    </row>
    <row r="46" spans="1:15" x14ac:dyDescent="0.25">
      <c r="A46" t="e">
        <f>18-(#REF!/4)</f>
        <v>#REF!</v>
      </c>
      <c r="C46" s="9">
        <f t="shared" si="4"/>
        <v>13</v>
      </c>
      <c r="D46" s="10">
        <v>4</v>
      </c>
      <c r="E46" s="10">
        <v>4</v>
      </c>
      <c r="F46" s="10">
        <v>4</v>
      </c>
      <c r="G46" s="10">
        <v>4</v>
      </c>
      <c r="H46" s="11">
        <f t="shared" si="5"/>
        <v>16</v>
      </c>
      <c r="I46" s="8">
        <f t="shared" si="6"/>
        <v>12</v>
      </c>
      <c r="J46" s="12">
        <v>3</v>
      </c>
      <c r="K46" s="12">
        <v>3</v>
      </c>
      <c r="L46" s="12">
        <v>3</v>
      </c>
      <c r="M46" s="12">
        <v>3</v>
      </c>
      <c r="N46" s="13">
        <f t="shared" si="7"/>
        <v>12</v>
      </c>
      <c r="O46" s="8">
        <f t="shared" si="8"/>
        <v>28</v>
      </c>
    </row>
    <row r="47" spans="1:15" x14ac:dyDescent="0.25">
      <c r="A47" t="e">
        <f>18-(#REF!/4)</f>
        <v>#REF!</v>
      </c>
      <c r="C47" s="1">
        <f t="shared" si="4"/>
        <v>13</v>
      </c>
      <c r="D47" s="4">
        <v>5</v>
      </c>
      <c r="E47" s="4">
        <v>4</v>
      </c>
      <c r="F47" s="4">
        <v>4</v>
      </c>
      <c r="G47" s="4">
        <v>4</v>
      </c>
      <c r="H47">
        <f t="shared" si="5"/>
        <v>17</v>
      </c>
      <c r="I47">
        <f t="shared" si="6"/>
        <v>12</v>
      </c>
      <c r="J47" s="4">
        <v>4</v>
      </c>
      <c r="K47" s="4">
        <v>3</v>
      </c>
      <c r="L47" s="4">
        <v>3</v>
      </c>
      <c r="M47" s="4">
        <v>3</v>
      </c>
      <c r="N47">
        <f t="shared" si="7"/>
        <v>13</v>
      </c>
      <c r="O47">
        <f t="shared" si="8"/>
        <v>30</v>
      </c>
    </row>
    <row r="48" spans="1:15" x14ac:dyDescent="0.25">
      <c r="A48" t="e">
        <f>18-(#REF!/4)</f>
        <v>#REF!</v>
      </c>
      <c r="C48" s="1">
        <f t="shared" si="4"/>
        <v>13</v>
      </c>
      <c r="D48" s="4">
        <v>5</v>
      </c>
      <c r="E48" s="4">
        <v>5</v>
      </c>
      <c r="F48" s="4">
        <v>4</v>
      </c>
      <c r="G48" s="4">
        <v>4</v>
      </c>
      <c r="H48">
        <f t="shared" si="5"/>
        <v>18</v>
      </c>
      <c r="I48">
        <f t="shared" si="6"/>
        <v>12</v>
      </c>
      <c r="J48" s="4">
        <v>4</v>
      </c>
      <c r="K48" s="4">
        <v>4</v>
      </c>
      <c r="L48" s="4">
        <v>3</v>
      </c>
      <c r="M48" s="4">
        <v>3</v>
      </c>
      <c r="N48">
        <f t="shared" si="7"/>
        <v>14</v>
      </c>
      <c r="O48">
        <f t="shared" si="8"/>
        <v>32</v>
      </c>
    </row>
    <row r="49" spans="1:15" x14ac:dyDescent="0.25">
      <c r="A49" t="e">
        <f>18-(#REF!/4)</f>
        <v>#REF!</v>
      </c>
      <c r="C49" s="1">
        <f t="shared" si="4"/>
        <v>13</v>
      </c>
      <c r="D49" s="4">
        <v>5</v>
      </c>
      <c r="E49" s="4">
        <v>5</v>
      </c>
      <c r="F49" s="4">
        <v>5</v>
      </c>
      <c r="G49" s="4">
        <v>4</v>
      </c>
      <c r="H49">
        <f t="shared" si="5"/>
        <v>19</v>
      </c>
      <c r="I49">
        <f t="shared" si="6"/>
        <v>12</v>
      </c>
      <c r="J49" s="4">
        <v>4</v>
      </c>
      <c r="K49" s="4">
        <v>4</v>
      </c>
      <c r="L49" s="4">
        <v>4</v>
      </c>
      <c r="M49" s="4">
        <v>3</v>
      </c>
      <c r="N49">
        <f t="shared" si="7"/>
        <v>15</v>
      </c>
      <c r="O49">
        <f t="shared" si="8"/>
        <v>34</v>
      </c>
    </row>
    <row r="50" spans="1:15" x14ac:dyDescent="0.25">
      <c r="A50" s="1" t="e">
        <f>18-(#REF!/4)</f>
        <v>#REF!</v>
      </c>
      <c r="B50" s="1"/>
      <c r="C50">
        <f t="shared" si="4"/>
        <v>12</v>
      </c>
      <c r="D50" s="4">
        <v>5</v>
      </c>
      <c r="E50" s="4">
        <v>5</v>
      </c>
      <c r="F50" s="4">
        <v>5</v>
      </c>
      <c r="G50" s="4">
        <v>5</v>
      </c>
      <c r="H50">
        <f t="shared" si="5"/>
        <v>20</v>
      </c>
      <c r="I50" s="5">
        <f t="shared" si="6"/>
        <v>10</v>
      </c>
      <c r="J50" s="6">
        <v>4</v>
      </c>
      <c r="K50" s="6">
        <v>4</v>
      </c>
      <c r="L50" s="6">
        <v>4</v>
      </c>
      <c r="M50" s="6">
        <v>4</v>
      </c>
      <c r="N50" s="5">
        <f t="shared" si="7"/>
        <v>16</v>
      </c>
      <c r="O50">
        <f t="shared" si="8"/>
        <v>36</v>
      </c>
    </row>
    <row r="51" spans="1:15" x14ac:dyDescent="0.25">
      <c r="A51" t="e">
        <f>18-(#REF!/4)</f>
        <v>#REF!</v>
      </c>
      <c r="C51">
        <f t="shared" si="4"/>
        <v>12</v>
      </c>
      <c r="D51" s="4">
        <v>6</v>
      </c>
      <c r="E51" s="4">
        <v>5</v>
      </c>
      <c r="F51" s="4">
        <v>5</v>
      </c>
      <c r="G51" s="4">
        <v>5</v>
      </c>
      <c r="H51">
        <f t="shared" si="5"/>
        <v>21</v>
      </c>
      <c r="I51">
        <f t="shared" si="6"/>
        <v>10</v>
      </c>
      <c r="J51" s="4">
        <v>5</v>
      </c>
      <c r="K51" s="4">
        <v>4</v>
      </c>
      <c r="L51" s="4">
        <v>4</v>
      </c>
      <c r="M51" s="4">
        <v>4</v>
      </c>
      <c r="N51">
        <f t="shared" si="7"/>
        <v>17</v>
      </c>
      <c r="O51">
        <f t="shared" si="8"/>
        <v>38</v>
      </c>
    </row>
    <row r="52" spans="1:15" x14ac:dyDescent="0.25">
      <c r="A52" t="e">
        <f>18-(#REF!/4)</f>
        <v>#REF!</v>
      </c>
      <c r="C52">
        <f t="shared" si="4"/>
        <v>12</v>
      </c>
      <c r="D52" s="4">
        <v>6</v>
      </c>
      <c r="E52" s="4">
        <v>6</v>
      </c>
      <c r="F52" s="4">
        <v>5</v>
      </c>
      <c r="G52" s="4">
        <v>5</v>
      </c>
      <c r="H52">
        <f t="shared" si="5"/>
        <v>22</v>
      </c>
      <c r="I52">
        <f t="shared" si="6"/>
        <v>10</v>
      </c>
      <c r="J52" s="4">
        <v>5</v>
      </c>
      <c r="K52" s="4">
        <v>5</v>
      </c>
      <c r="L52" s="4">
        <v>4</v>
      </c>
      <c r="M52" s="4">
        <v>4</v>
      </c>
      <c r="N52">
        <f t="shared" si="7"/>
        <v>18</v>
      </c>
      <c r="O52">
        <f t="shared" si="8"/>
        <v>40</v>
      </c>
    </row>
    <row r="53" spans="1:15" x14ac:dyDescent="0.25">
      <c r="A53" t="e">
        <f>18-(#REF!/4)</f>
        <v>#REF!</v>
      </c>
      <c r="C53">
        <f t="shared" si="4"/>
        <v>12</v>
      </c>
      <c r="D53" s="4">
        <v>6</v>
      </c>
      <c r="E53" s="4">
        <v>6</v>
      </c>
      <c r="F53" s="4">
        <v>6</v>
      </c>
      <c r="G53" s="4">
        <v>5</v>
      </c>
      <c r="H53">
        <f t="shared" si="5"/>
        <v>23</v>
      </c>
      <c r="I53">
        <f t="shared" si="6"/>
        <v>10</v>
      </c>
      <c r="J53" s="4">
        <v>5</v>
      </c>
      <c r="K53" s="4">
        <v>5</v>
      </c>
      <c r="L53" s="4">
        <v>5</v>
      </c>
      <c r="M53" s="4">
        <v>4</v>
      </c>
      <c r="N53">
        <f t="shared" si="7"/>
        <v>19</v>
      </c>
      <c r="O53">
        <f t="shared" si="8"/>
        <v>42</v>
      </c>
    </row>
    <row r="54" spans="1:15" x14ac:dyDescent="0.25">
      <c r="A54" s="1" t="e">
        <f>18-(#REF!/4)</f>
        <v>#REF!</v>
      </c>
      <c r="B54" s="1"/>
      <c r="C54">
        <f t="shared" si="4"/>
        <v>11</v>
      </c>
      <c r="D54" s="4">
        <v>6</v>
      </c>
      <c r="E54" s="4">
        <v>6</v>
      </c>
      <c r="F54" s="4">
        <v>6</v>
      </c>
      <c r="G54" s="4">
        <v>6</v>
      </c>
      <c r="H54">
        <f t="shared" si="5"/>
        <v>24</v>
      </c>
      <c r="I54">
        <f t="shared" si="6"/>
        <v>8</v>
      </c>
      <c r="J54" s="4">
        <v>5</v>
      </c>
      <c r="K54" s="4">
        <v>5</v>
      </c>
      <c r="L54" s="4">
        <v>5</v>
      </c>
      <c r="M54" s="4">
        <v>5</v>
      </c>
      <c r="N54">
        <f t="shared" si="7"/>
        <v>20</v>
      </c>
    </row>
    <row r="55" spans="1:15" x14ac:dyDescent="0.25">
      <c r="A55" t="e">
        <f>18-(#REF!/4)</f>
        <v>#REF!</v>
      </c>
      <c r="I55">
        <f t="shared" si="6"/>
        <v>8</v>
      </c>
      <c r="J55" s="4">
        <v>6</v>
      </c>
      <c r="K55" s="4">
        <v>5</v>
      </c>
      <c r="L55" s="4">
        <v>5</v>
      </c>
      <c r="M55" s="4">
        <v>5</v>
      </c>
      <c r="N55">
        <f t="shared" si="7"/>
        <v>21</v>
      </c>
    </row>
    <row r="56" spans="1:15" x14ac:dyDescent="0.25">
      <c r="A56" t="e">
        <f>18-(#REF!/4)</f>
        <v>#REF!</v>
      </c>
      <c r="I56">
        <f t="shared" si="6"/>
        <v>8</v>
      </c>
      <c r="J56" s="4">
        <v>6</v>
      </c>
      <c r="K56" s="4">
        <v>6</v>
      </c>
      <c r="L56" s="4">
        <v>5</v>
      </c>
      <c r="M56" s="4">
        <v>5</v>
      </c>
      <c r="N56">
        <f t="shared" si="7"/>
        <v>22</v>
      </c>
    </row>
    <row r="57" spans="1:15" x14ac:dyDescent="0.25">
      <c r="A57" t="e">
        <f>18-(#REF!/4)</f>
        <v>#REF!</v>
      </c>
      <c r="I57">
        <f t="shared" si="6"/>
        <v>8</v>
      </c>
      <c r="J57" s="4">
        <v>6</v>
      </c>
      <c r="K57" s="4">
        <v>6</v>
      </c>
      <c r="L57" s="4">
        <v>6</v>
      </c>
      <c r="M57" s="4">
        <v>5</v>
      </c>
      <c r="N57">
        <f t="shared" si="7"/>
        <v>23</v>
      </c>
    </row>
    <row r="58" spans="1:15" x14ac:dyDescent="0.25">
      <c r="A58" t="e">
        <f>18-(#REF!/4)</f>
        <v>#REF!</v>
      </c>
      <c r="I58">
        <f t="shared" si="6"/>
        <v>6</v>
      </c>
      <c r="J58" s="4">
        <v>6</v>
      </c>
      <c r="K58" s="4">
        <v>6</v>
      </c>
      <c r="L58" s="4">
        <v>6</v>
      </c>
      <c r="M58" s="4">
        <v>6</v>
      </c>
      <c r="N58">
        <f t="shared" si="7"/>
        <v>24</v>
      </c>
    </row>
    <row r="59" spans="1:15" x14ac:dyDescent="0.25">
      <c r="A59" t="e">
        <f>18-(#REF!/4)</f>
        <v>#REF!</v>
      </c>
    </row>
    <row r="60" spans="1:15" x14ac:dyDescent="0.25">
      <c r="A60" t="e">
        <f>18-(#REF!/4)</f>
        <v>#REF!</v>
      </c>
    </row>
    <row r="61" spans="1:15" x14ac:dyDescent="0.25">
      <c r="A61" t="e">
        <f>18-(#REF!/4)</f>
        <v>#REF!</v>
      </c>
    </row>
    <row r="62" spans="1:15" x14ac:dyDescent="0.25">
      <c r="A62" t="e">
        <f>18-(#REF!/4)</f>
        <v>#REF!</v>
      </c>
    </row>
    <row r="63" spans="1:15" x14ac:dyDescent="0.25">
      <c r="A63" t="e">
        <f>18-(#REF!/4)</f>
        <v>#REF!</v>
      </c>
    </row>
    <row r="64" spans="1:15" x14ac:dyDescent="0.25">
      <c r="A64" t="e">
        <f>18-(#REF!/4)</f>
        <v>#REF!</v>
      </c>
    </row>
    <row r="65" spans="1:1" x14ac:dyDescent="0.25">
      <c r="A65" t="e">
        <f>18-(#REF!/4)</f>
        <v>#REF!</v>
      </c>
    </row>
    <row r="66" spans="1:1" x14ac:dyDescent="0.25">
      <c r="A66" t="e">
        <f>18-(#REF!/4)</f>
        <v>#REF!</v>
      </c>
    </row>
    <row r="67" spans="1:1" x14ac:dyDescent="0.25">
      <c r="A67" t="e">
        <f>18-(#REF!/4)</f>
        <v>#REF!</v>
      </c>
    </row>
    <row r="68" spans="1:1" x14ac:dyDescent="0.25">
      <c r="A68" t="e">
        <f>18-(#REF!/4)</f>
        <v>#REF!</v>
      </c>
    </row>
    <row r="69" spans="1:1" x14ac:dyDescent="0.25">
      <c r="A69" t="e">
        <f>18-(#REF!/4)</f>
        <v>#REF!</v>
      </c>
    </row>
    <row r="70" spans="1:1" x14ac:dyDescent="0.25">
      <c r="A70" t="e">
        <f>18-(#REF!/4)</f>
        <v>#REF!</v>
      </c>
    </row>
    <row r="71" spans="1:1" x14ac:dyDescent="0.25">
      <c r="A71" t="e">
        <f>18-(#REF!/4)</f>
        <v>#REF!</v>
      </c>
    </row>
    <row r="72" spans="1:1" x14ac:dyDescent="0.25">
      <c r="A72" t="e">
        <f>18-(#REF!/4)</f>
        <v>#REF!</v>
      </c>
    </row>
    <row r="73" spans="1:1" x14ac:dyDescent="0.25">
      <c r="A73" t="e">
        <f>18-(#REF!/4)</f>
        <v>#REF!</v>
      </c>
    </row>
    <row r="74" spans="1:1" x14ac:dyDescent="0.25">
      <c r="A74" t="e">
        <f>18-(#REF!/4)</f>
        <v>#REF!</v>
      </c>
    </row>
    <row r="75" spans="1:1" x14ac:dyDescent="0.25">
      <c r="A75" t="e">
        <f>18-(#REF!/4)</f>
        <v>#REF!</v>
      </c>
    </row>
    <row r="76" spans="1:1" x14ac:dyDescent="0.25">
      <c r="A76" t="e">
        <f>18-(#REF!/4)</f>
        <v>#REF!</v>
      </c>
    </row>
    <row r="77" spans="1:1" x14ac:dyDescent="0.25">
      <c r="A77" t="e">
        <f>18-(#REF!/4)</f>
        <v>#REF!</v>
      </c>
    </row>
    <row r="78" spans="1:1" x14ac:dyDescent="0.25">
      <c r="A78" t="e">
        <f>18-(#REF!/4)</f>
        <v>#REF!</v>
      </c>
    </row>
    <row r="79" spans="1:1" x14ac:dyDescent="0.25">
      <c r="A79" t="e">
        <f>18-(#REF!/4)</f>
        <v>#REF!</v>
      </c>
    </row>
    <row r="80" spans="1:1" x14ac:dyDescent="0.25">
      <c r="A80" t="e">
        <f>18-(#REF!/4)</f>
        <v>#REF!</v>
      </c>
    </row>
    <row r="81" spans="1:1" x14ac:dyDescent="0.25">
      <c r="A81" t="e">
        <f>18-(#REF!/4)</f>
        <v>#REF!</v>
      </c>
    </row>
    <row r="82" spans="1:1" x14ac:dyDescent="0.25">
      <c r="A82" t="e">
        <f>18-(#REF!/4)</f>
        <v>#REF!</v>
      </c>
    </row>
    <row r="83" spans="1:1" x14ac:dyDescent="0.25">
      <c r="A83" t="e">
        <f>18-(#REF!/4)</f>
        <v>#REF!</v>
      </c>
    </row>
    <row r="84" spans="1:1" x14ac:dyDescent="0.25">
      <c r="A84" t="e">
        <f>18-(#REF!/4)</f>
        <v>#REF!</v>
      </c>
    </row>
    <row r="85" spans="1:1" x14ac:dyDescent="0.25">
      <c r="A85" t="e">
        <f>18-(#REF!/4)</f>
        <v>#REF!</v>
      </c>
    </row>
    <row r="86" spans="1:1" x14ac:dyDescent="0.25">
      <c r="A86" t="e">
        <f>18-(#REF!/4)</f>
        <v>#REF!</v>
      </c>
    </row>
    <row r="87" spans="1:1" x14ac:dyDescent="0.25">
      <c r="A87" t="e">
        <f>18-(#REF!/4)</f>
        <v>#REF!</v>
      </c>
    </row>
    <row r="88" spans="1:1" x14ac:dyDescent="0.25">
      <c r="A88" t="e">
        <f>18-(#REF!/4)</f>
        <v>#REF!</v>
      </c>
    </row>
    <row r="89" spans="1:1" x14ac:dyDescent="0.25">
      <c r="A89" t="e">
        <f>18-(#REF!/4)</f>
        <v>#REF!</v>
      </c>
    </row>
    <row r="90" spans="1:1" x14ac:dyDescent="0.25">
      <c r="A90" t="e">
        <f>18-(#REF!/4)</f>
        <v>#REF!</v>
      </c>
    </row>
    <row r="91" spans="1:1" x14ac:dyDescent="0.25">
      <c r="A91" t="e">
        <f>18-(#REF!/4)</f>
        <v>#REF!</v>
      </c>
    </row>
    <row r="92" spans="1:1" x14ac:dyDescent="0.25">
      <c r="A92" t="e">
        <f>18-(#REF!/4)</f>
        <v>#REF!</v>
      </c>
    </row>
    <row r="93" spans="1:1" x14ac:dyDescent="0.25">
      <c r="A93" t="e">
        <f>18-(#REF!/4)</f>
        <v>#REF!</v>
      </c>
    </row>
    <row r="94" spans="1:1" x14ac:dyDescent="0.25">
      <c r="A94" t="e">
        <f>18-(#REF!/4)</f>
        <v>#REF!</v>
      </c>
    </row>
    <row r="95" spans="1:1" x14ac:dyDescent="0.25">
      <c r="A95" t="e">
        <f>18-(#REF!/4)</f>
        <v>#REF!</v>
      </c>
    </row>
    <row r="96" spans="1:1" x14ac:dyDescent="0.25">
      <c r="A96" t="e">
        <f>18-(#REF!/4)</f>
        <v>#REF!</v>
      </c>
    </row>
    <row r="97" spans="1:1" x14ac:dyDescent="0.25">
      <c r="A97" t="e">
        <f>18-(#REF!/4)</f>
        <v>#REF!</v>
      </c>
    </row>
    <row r="98" spans="1:1" x14ac:dyDescent="0.25">
      <c r="A98" t="e">
        <f>18-(#REF!/4)</f>
        <v>#REF!</v>
      </c>
    </row>
    <row r="99" spans="1:1" x14ac:dyDescent="0.25">
      <c r="A99" t="e">
        <f>18-(#REF!/4)</f>
        <v>#REF!</v>
      </c>
    </row>
    <row r="100" spans="1:1" x14ac:dyDescent="0.25">
      <c r="A100" t="e">
        <f>18-(#REF!/4)</f>
        <v>#REF!</v>
      </c>
    </row>
    <row r="101" spans="1:1" x14ac:dyDescent="0.25">
      <c r="A101" t="e">
        <f>18-(#REF!/4)</f>
        <v>#REF!</v>
      </c>
    </row>
    <row r="102" spans="1:1" x14ac:dyDescent="0.25">
      <c r="A102" t="e">
        <f>18-(#REF!/4)</f>
        <v>#REF!</v>
      </c>
    </row>
  </sheetData>
  <mergeCells count="1">
    <mergeCell ref="J1:K1"/>
  </mergeCells>
  <pageMargins left="0.7" right="0.7" top="0.75" bottom="0.75" header="0.3" footer="0.3"/>
  <pageSetup paperSize="9" orientation="portrait" horizontalDpi="300" verticalDpi="30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1"/>
  <sheetViews>
    <sheetView tabSelected="1" topLeftCell="A3" zoomScale="75" zoomScaleNormal="75" workbookViewId="0">
      <selection activeCell="M3" sqref="M1:M1048576"/>
    </sheetView>
  </sheetViews>
  <sheetFormatPr baseColWidth="10" defaultRowHeight="15" x14ac:dyDescent="0.25"/>
  <cols>
    <col min="1" max="5" width="11.42578125" style="70"/>
    <col min="6" max="6" width="9.42578125" style="70" bestFit="1" customWidth="1"/>
    <col min="7" max="7" width="11.7109375" style="70" bestFit="1" customWidth="1"/>
    <col min="8" max="8" width="11.42578125" style="70"/>
    <col min="9" max="10" width="7.85546875" style="70" customWidth="1"/>
    <col min="11" max="11" width="10.140625" style="70" customWidth="1"/>
    <col min="12" max="12" width="8.5703125" style="70" customWidth="1"/>
    <col min="13" max="13" width="13.7109375" style="70" bestFit="1" customWidth="1"/>
    <col min="14" max="14" width="15.28515625" style="70" customWidth="1"/>
    <col min="15" max="15" width="12.28515625" style="70" customWidth="1"/>
    <col min="16" max="16" width="15.28515625" style="70" customWidth="1"/>
    <col min="17" max="17" width="10.7109375" style="70" customWidth="1"/>
    <col min="18" max="18" width="11.42578125" style="70" customWidth="1"/>
    <col min="19" max="19" width="14.28515625" style="70" customWidth="1"/>
    <col min="20" max="16384" width="11.42578125" style="70"/>
  </cols>
  <sheetData>
    <row r="1" spans="1:19" ht="15.75" thickBot="1" x14ac:dyDescent="0.3">
      <c r="A1" s="188" t="s">
        <v>247</v>
      </c>
      <c r="B1" s="189"/>
      <c r="C1" s="189"/>
      <c r="D1" s="189"/>
      <c r="E1" s="189"/>
      <c r="F1" s="189"/>
      <c r="G1" s="190"/>
      <c r="N1" s="156" t="s">
        <v>191</v>
      </c>
      <c r="P1" s="156" t="s">
        <v>193</v>
      </c>
    </row>
    <row r="2" spans="1:19" ht="15" customHeight="1" thickBot="1" x14ac:dyDescent="0.3">
      <c r="A2" s="191"/>
      <c r="B2" s="192"/>
      <c r="C2" s="192"/>
      <c r="D2" s="192"/>
      <c r="E2" s="192"/>
      <c r="F2" s="192"/>
      <c r="G2" s="193"/>
      <c r="I2" s="159" t="s">
        <v>204</v>
      </c>
      <c r="J2" s="182"/>
      <c r="N2" s="157"/>
      <c r="P2" s="157"/>
    </row>
    <row r="3" spans="1:19" ht="15.75" customHeight="1" thickBot="1" x14ac:dyDescent="0.3">
      <c r="A3" s="191"/>
      <c r="B3" s="192"/>
      <c r="C3" s="192"/>
      <c r="D3" s="192"/>
      <c r="E3" s="192"/>
      <c r="F3" s="192"/>
      <c r="G3" s="193"/>
      <c r="I3" s="160"/>
      <c r="J3" s="183"/>
      <c r="N3" s="157"/>
      <c r="O3" s="159" t="s">
        <v>192</v>
      </c>
      <c r="P3" s="157"/>
    </row>
    <row r="4" spans="1:19" ht="15.75" customHeight="1" thickBot="1" x14ac:dyDescent="0.3">
      <c r="A4" s="194"/>
      <c r="B4" s="195"/>
      <c r="C4" s="195"/>
      <c r="D4" s="195"/>
      <c r="E4" s="195"/>
      <c r="F4" s="195"/>
      <c r="G4" s="196"/>
      <c r="I4" s="160"/>
      <c r="J4" s="183"/>
      <c r="K4" s="185" t="s">
        <v>188</v>
      </c>
      <c r="L4" s="182"/>
      <c r="N4" s="157"/>
      <c r="O4" s="160"/>
      <c r="P4" s="157"/>
      <c r="Q4" s="156" t="s">
        <v>195</v>
      </c>
      <c r="R4" s="156" t="s">
        <v>196</v>
      </c>
      <c r="S4" s="159" t="s">
        <v>197</v>
      </c>
    </row>
    <row r="5" spans="1:19" ht="15.75" customHeight="1" thickBot="1" x14ac:dyDescent="0.3">
      <c r="I5" s="162"/>
      <c r="J5" s="184"/>
      <c r="K5" s="186"/>
      <c r="L5" s="186"/>
      <c r="M5" s="159" t="s">
        <v>190</v>
      </c>
      <c r="N5" s="157"/>
      <c r="O5" s="162"/>
      <c r="P5" s="157"/>
      <c r="Q5" s="157"/>
      <c r="R5" s="157"/>
      <c r="S5" s="160"/>
    </row>
    <row r="6" spans="1:19" ht="16.5" thickTop="1" thickBot="1" x14ac:dyDescent="0.3">
      <c r="A6" s="163" t="s">
        <v>198</v>
      </c>
      <c r="B6" s="164"/>
      <c r="C6" s="164"/>
      <c r="D6" s="164"/>
      <c r="E6" s="164"/>
      <c r="F6" s="165"/>
      <c r="G6" s="69" t="s">
        <v>184</v>
      </c>
      <c r="H6" s="68" t="s">
        <v>185</v>
      </c>
      <c r="I6" s="72" t="s">
        <v>37</v>
      </c>
      <c r="J6" s="72" t="s">
        <v>38</v>
      </c>
      <c r="K6" s="72" t="s">
        <v>186</v>
      </c>
      <c r="L6" s="73" t="s">
        <v>187</v>
      </c>
      <c r="M6" s="162"/>
      <c r="N6" s="158"/>
      <c r="O6" s="71" t="s">
        <v>96</v>
      </c>
      <c r="P6" s="158"/>
      <c r="Q6" s="158"/>
      <c r="R6" s="158"/>
      <c r="S6" s="161"/>
    </row>
    <row r="7" spans="1:19" ht="15.75" customHeight="1" x14ac:dyDescent="0.25">
      <c r="A7" s="166" t="s">
        <v>206</v>
      </c>
      <c r="B7" s="167"/>
      <c r="C7" s="167"/>
      <c r="D7" s="167"/>
      <c r="E7" s="168"/>
      <c r="F7" s="175">
        <v>1</v>
      </c>
      <c r="G7" s="178">
        <v>1</v>
      </c>
      <c r="H7" s="180" t="s">
        <v>199</v>
      </c>
      <c r="I7" s="178">
        <v>0.7</v>
      </c>
      <c r="J7" s="178">
        <v>0.7</v>
      </c>
      <c r="K7" s="178">
        <v>17.5</v>
      </c>
      <c r="L7" s="178">
        <v>1.43</v>
      </c>
      <c r="M7" s="180" t="s">
        <v>200</v>
      </c>
      <c r="N7" s="211">
        <f>4*4+3*4</f>
        <v>28</v>
      </c>
      <c r="O7" s="213" t="s">
        <v>97</v>
      </c>
      <c r="P7" s="202" t="s">
        <v>160</v>
      </c>
      <c r="Q7" s="205" t="s">
        <v>160</v>
      </c>
      <c r="R7" s="178">
        <v>0</v>
      </c>
      <c r="S7" s="209">
        <f>4*4+3*4</f>
        <v>28</v>
      </c>
    </row>
    <row r="8" spans="1:19" x14ac:dyDescent="0.25">
      <c r="A8" s="169"/>
      <c r="B8" s="170"/>
      <c r="C8" s="170"/>
      <c r="D8" s="170"/>
      <c r="E8" s="171"/>
      <c r="F8" s="176"/>
      <c r="G8" s="179"/>
      <c r="H8" s="181"/>
      <c r="I8" s="179"/>
      <c r="J8" s="179"/>
      <c r="K8" s="179"/>
      <c r="L8" s="179"/>
      <c r="M8" s="181"/>
      <c r="N8" s="212"/>
      <c r="O8" s="179"/>
      <c r="P8" s="203"/>
      <c r="Q8" s="208"/>
      <c r="R8" s="179"/>
      <c r="S8" s="210"/>
    </row>
    <row r="9" spans="1:19" x14ac:dyDescent="0.25">
      <c r="A9" s="169"/>
      <c r="B9" s="170"/>
      <c r="C9" s="170"/>
      <c r="D9" s="170"/>
      <c r="E9" s="171"/>
      <c r="F9" s="176"/>
      <c r="G9" s="197">
        <v>2</v>
      </c>
      <c r="H9" s="180" t="s">
        <v>199</v>
      </c>
      <c r="I9" s="197">
        <v>0.7</v>
      </c>
      <c r="J9" s="197">
        <v>0.7</v>
      </c>
      <c r="K9" s="197">
        <v>23</v>
      </c>
      <c r="L9" s="197">
        <v>0</v>
      </c>
      <c r="M9" s="180" t="s">
        <v>200</v>
      </c>
      <c r="N9" s="199">
        <f t="shared" ref="N9" si="0">4*4+3*4</f>
        <v>28</v>
      </c>
      <c r="O9" s="201" t="s">
        <v>97</v>
      </c>
      <c r="P9" s="202" t="s">
        <v>160</v>
      </c>
      <c r="Q9" s="204" t="s">
        <v>160</v>
      </c>
      <c r="R9" s="197">
        <v>0</v>
      </c>
      <c r="S9" s="206">
        <f t="shared" ref="S9" si="1">4*4+3*4</f>
        <v>28</v>
      </c>
    </row>
    <row r="10" spans="1:19" x14ac:dyDescent="0.25">
      <c r="A10" s="169"/>
      <c r="B10" s="170"/>
      <c r="C10" s="170"/>
      <c r="D10" s="170"/>
      <c r="E10" s="171"/>
      <c r="F10" s="176"/>
      <c r="G10" s="197"/>
      <c r="H10" s="181"/>
      <c r="I10" s="197"/>
      <c r="J10" s="197"/>
      <c r="K10" s="197"/>
      <c r="L10" s="197"/>
      <c r="M10" s="181"/>
      <c r="N10" s="200"/>
      <c r="O10" s="197"/>
      <c r="P10" s="203"/>
      <c r="Q10" s="205"/>
      <c r="R10" s="197"/>
      <c r="S10" s="207"/>
    </row>
    <row r="11" spans="1:19" x14ac:dyDescent="0.25">
      <c r="A11" s="169"/>
      <c r="B11" s="170"/>
      <c r="C11" s="170"/>
      <c r="D11" s="170"/>
      <c r="E11" s="171"/>
      <c r="F11" s="176"/>
      <c r="G11" s="197" t="s">
        <v>202</v>
      </c>
      <c r="H11" s="180" t="s">
        <v>199</v>
      </c>
      <c r="I11" s="197">
        <v>0.65</v>
      </c>
      <c r="J11" s="197">
        <v>0.65</v>
      </c>
      <c r="K11" s="197">
        <v>17.5</v>
      </c>
      <c r="L11" s="197">
        <v>1.43</v>
      </c>
      <c r="M11" s="198" t="s">
        <v>201</v>
      </c>
      <c r="N11" s="200">
        <v>12</v>
      </c>
      <c r="O11" s="219" t="s">
        <v>182</v>
      </c>
      <c r="P11" s="197" t="s">
        <v>175</v>
      </c>
      <c r="Q11" s="204" t="s">
        <v>160</v>
      </c>
      <c r="R11" s="197" t="s">
        <v>176</v>
      </c>
      <c r="S11" s="206">
        <v>28</v>
      </c>
    </row>
    <row r="12" spans="1:19" x14ac:dyDescent="0.25">
      <c r="A12" s="169"/>
      <c r="B12" s="170"/>
      <c r="C12" s="170"/>
      <c r="D12" s="170"/>
      <c r="E12" s="171"/>
      <c r="F12" s="176"/>
      <c r="G12" s="197"/>
      <c r="H12" s="181"/>
      <c r="I12" s="197"/>
      <c r="J12" s="197"/>
      <c r="K12" s="197"/>
      <c r="L12" s="197"/>
      <c r="M12" s="198"/>
      <c r="N12" s="200"/>
      <c r="O12" s="197"/>
      <c r="P12" s="197"/>
      <c r="Q12" s="205"/>
      <c r="R12" s="197"/>
      <c r="S12" s="207"/>
    </row>
    <row r="13" spans="1:19" x14ac:dyDescent="0.25">
      <c r="A13" s="169"/>
      <c r="B13" s="170"/>
      <c r="C13" s="170"/>
      <c r="D13" s="170"/>
      <c r="E13" s="171"/>
      <c r="F13" s="176"/>
      <c r="G13" s="214">
        <v>4</v>
      </c>
      <c r="H13" s="215" t="s">
        <v>199</v>
      </c>
      <c r="I13" s="214">
        <v>0.1</v>
      </c>
      <c r="J13" s="214">
        <v>0.1</v>
      </c>
      <c r="K13" s="214">
        <v>23</v>
      </c>
      <c r="L13" s="214">
        <v>0</v>
      </c>
      <c r="M13" s="216" t="s">
        <v>201</v>
      </c>
      <c r="N13" s="217">
        <f t="shared" ref="N13" si="2">4*4+3*4</f>
        <v>28</v>
      </c>
      <c r="O13" s="214">
        <v>0</v>
      </c>
      <c r="P13" s="214" t="s">
        <v>160</v>
      </c>
      <c r="Q13" s="214" t="s">
        <v>181</v>
      </c>
      <c r="R13" s="214" t="s">
        <v>180</v>
      </c>
      <c r="S13" s="220">
        <f>(15+7)*4</f>
        <v>88</v>
      </c>
    </row>
    <row r="14" spans="1:19" x14ac:dyDescent="0.25">
      <c r="A14" s="169"/>
      <c r="B14" s="170"/>
      <c r="C14" s="170"/>
      <c r="D14" s="170"/>
      <c r="E14" s="171"/>
      <c r="F14" s="176"/>
      <c r="G14" s="214"/>
      <c r="H14" s="216"/>
      <c r="I14" s="214"/>
      <c r="J14" s="214"/>
      <c r="K14" s="214"/>
      <c r="L14" s="214"/>
      <c r="M14" s="216"/>
      <c r="N14" s="218"/>
      <c r="O14" s="214"/>
      <c r="P14" s="214"/>
      <c r="Q14" s="214"/>
      <c r="R14" s="214"/>
      <c r="S14" s="221"/>
    </row>
    <row r="15" spans="1:19" x14ac:dyDescent="0.25">
      <c r="A15" s="169"/>
      <c r="B15" s="170"/>
      <c r="C15" s="170"/>
      <c r="D15" s="170"/>
      <c r="E15" s="171"/>
      <c r="F15" s="176"/>
      <c r="G15" s="197">
        <v>5</v>
      </c>
      <c r="H15" s="198" t="s">
        <v>155</v>
      </c>
      <c r="I15" s="197">
        <f>'5) STD-f''creciente-CUMPL'!$N$3</f>
        <v>0.7</v>
      </c>
      <c r="J15" s="197">
        <f>I15</f>
        <v>0.7</v>
      </c>
      <c r="K15" s="197">
        <f>'5) STD-f''creciente-CUMPL'!$N$4</f>
        <v>23</v>
      </c>
      <c r="L15" s="197">
        <f>'5) STD-f''creciente-CUMPL'!$N$5</f>
        <v>1.43</v>
      </c>
      <c r="M15" s="180" t="s">
        <v>200</v>
      </c>
      <c r="N15" s="199">
        <f t="shared" ref="N15" si="3">4*4+3*4</f>
        <v>28</v>
      </c>
      <c r="O15" s="201" t="s">
        <v>121</v>
      </c>
      <c r="P15" s="202" t="s">
        <v>160</v>
      </c>
      <c r="Q15" s="202" t="s">
        <v>160</v>
      </c>
      <c r="R15" s="197">
        <v>0</v>
      </c>
      <c r="S15" s="206">
        <v>28</v>
      </c>
    </row>
    <row r="16" spans="1:19" x14ac:dyDescent="0.25">
      <c r="A16" s="169"/>
      <c r="B16" s="170"/>
      <c r="C16" s="170"/>
      <c r="D16" s="170"/>
      <c r="E16" s="171"/>
      <c r="F16" s="176"/>
      <c r="G16" s="197"/>
      <c r="H16" s="198"/>
      <c r="I16" s="197"/>
      <c r="J16" s="197"/>
      <c r="K16" s="197"/>
      <c r="L16" s="197"/>
      <c r="M16" s="181"/>
      <c r="N16" s="200"/>
      <c r="O16" s="197"/>
      <c r="P16" s="203"/>
      <c r="Q16" s="203"/>
      <c r="R16" s="197"/>
      <c r="S16" s="207"/>
    </row>
    <row r="17" spans="1:20" x14ac:dyDescent="0.25">
      <c r="A17" s="169"/>
      <c r="B17" s="170"/>
      <c r="C17" s="170"/>
      <c r="D17" s="170"/>
      <c r="E17" s="171"/>
      <c r="F17" s="176"/>
      <c r="G17" s="179">
        <v>6</v>
      </c>
      <c r="H17" s="198" t="s">
        <v>155</v>
      </c>
      <c r="I17" s="197">
        <v>0.7</v>
      </c>
      <c r="J17" s="197">
        <v>0.7</v>
      </c>
      <c r="K17" s="197">
        <v>23</v>
      </c>
      <c r="L17" s="197">
        <v>0</v>
      </c>
      <c r="M17" s="180" t="s">
        <v>200</v>
      </c>
      <c r="N17" s="199">
        <f t="shared" ref="N17" si="4">4*4+3*4</f>
        <v>28</v>
      </c>
      <c r="O17" s="201" t="s">
        <v>121</v>
      </c>
      <c r="P17" s="202" t="s">
        <v>160</v>
      </c>
      <c r="Q17" s="202" t="s">
        <v>160</v>
      </c>
      <c r="R17" s="197">
        <v>0</v>
      </c>
      <c r="S17" s="206">
        <v>28</v>
      </c>
    </row>
    <row r="18" spans="1:20" x14ac:dyDescent="0.25">
      <c r="A18" s="169"/>
      <c r="B18" s="170"/>
      <c r="C18" s="170"/>
      <c r="D18" s="170"/>
      <c r="E18" s="171"/>
      <c r="F18" s="176"/>
      <c r="G18" s="179"/>
      <c r="H18" s="198"/>
      <c r="I18" s="197"/>
      <c r="J18" s="197"/>
      <c r="K18" s="197"/>
      <c r="L18" s="197"/>
      <c r="M18" s="181"/>
      <c r="N18" s="200"/>
      <c r="O18" s="197"/>
      <c r="P18" s="203"/>
      <c r="Q18" s="203"/>
      <c r="R18" s="197"/>
      <c r="S18" s="207"/>
    </row>
    <row r="19" spans="1:20" x14ac:dyDescent="0.25">
      <c r="A19" s="169"/>
      <c r="B19" s="170"/>
      <c r="C19" s="170"/>
      <c r="D19" s="170"/>
      <c r="E19" s="171"/>
      <c r="F19" s="176"/>
      <c r="G19" s="197">
        <v>7</v>
      </c>
      <c r="H19" s="198" t="s">
        <v>155</v>
      </c>
      <c r="I19" s="197">
        <f>'7) STD-f''creciente-VIOL'!$N$3</f>
        <v>0.55000000000000004</v>
      </c>
      <c r="J19" s="197">
        <f>'7) STD-f''creciente-VIOL'!$P$3</f>
        <v>0.33333333333333331</v>
      </c>
      <c r="K19" s="197">
        <f>'7) STD-f''creciente-VIOL'!$N$4</f>
        <v>23</v>
      </c>
      <c r="L19" s="197">
        <f>'7) STD-f''creciente-VIOL'!$N$5</f>
        <v>1.43</v>
      </c>
      <c r="M19" s="224" t="s">
        <v>201</v>
      </c>
      <c r="N19" s="199">
        <v>12</v>
      </c>
      <c r="O19" s="201" t="s">
        <v>121</v>
      </c>
      <c r="P19" s="197" t="s">
        <v>175</v>
      </c>
      <c r="Q19" s="197" t="s">
        <v>160</v>
      </c>
      <c r="R19" s="197" t="s">
        <v>176</v>
      </c>
      <c r="S19" s="206">
        <f>(3+4)*4</f>
        <v>28</v>
      </c>
    </row>
    <row r="20" spans="1:20" x14ac:dyDescent="0.25">
      <c r="A20" s="169"/>
      <c r="B20" s="170"/>
      <c r="C20" s="170"/>
      <c r="D20" s="170"/>
      <c r="E20" s="171"/>
      <c r="F20" s="176"/>
      <c r="G20" s="197"/>
      <c r="H20" s="198"/>
      <c r="I20" s="197"/>
      <c r="J20" s="197"/>
      <c r="K20" s="197"/>
      <c r="L20" s="197"/>
      <c r="M20" s="232"/>
      <c r="N20" s="200"/>
      <c r="O20" s="197"/>
      <c r="P20" s="197"/>
      <c r="Q20" s="197"/>
      <c r="R20" s="197"/>
      <c r="S20" s="207"/>
    </row>
    <row r="21" spans="1:20" ht="15" customHeight="1" x14ac:dyDescent="0.25">
      <c r="A21" s="169"/>
      <c r="B21" s="170"/>
      <c r="C21" s="170"/>
      <c r="D21" s="170"/>
      <c r="E21" s="171"/>
      <c r="F21" s="176"/>
      <c r="G21" s="197">
        <v>8</v>
      </c>
      <c r="H21" s="181" t="s">
        <v>155</v>
      </c>
      <c r="I21" s="197">
        <f>'7) STD-f''creciente-VIOL'!$N$3</f>
        <v>0.55000000000000004</v>
      </c>
      <c r="J21" s="197">
        <f>'7) STD-f''creciente-VIOL'!$P$3</f>
        <v>0.33333333333333331</v>
      </c>
      <c r="K21" s="224">
        <f>'8) STD-f''const-VIOL'!N4</f>
        <v>25.86</v>
      </c>
      <c r="L21" s="197">
        <v>0</v>
      </c>
      <c r="M21" s="226" t="s">
        <v>201</v>
      </c>
      <c r="N21" s="228">
        <v>12</v>
      </c>
      <c r="O21" s="230" t="s">
        <v>121</v>
      </c>
      <c r="P21" s="197" t="s">
        <v>175</v>
      </c>
      <c r="Q21" s="197" t="s">
        <v>160</v>
      </c>
      <c r="R21" s="197" t="s">
        <v>176</v>
      </c>
      <c r="S21" s="206">
        <f>(3+4)*4</f>
        <v>28</v>
      </c>
      <c r="T21" s="70" t="s">
        <v>208</v>
      </c>
    </row>
    <row r="22" spans="1:20" ht="15.75" thickBot="1" x14ac:dyDescent="0.3">
      <c r="A22" s="172"/>
      <c r="B22" s="173"/>
      <c r="C22" s="173"/>
      <c r="D22" s="173"/>
      <c r="E22" s="174"/>
      <c r="F22" s="177"/>
      <c r="G22" s="222"/>
      <c r="H22" s="223"/>
      <c r="I22" s="222"/>
      <c r="J22" s="222"/>
      <c r="K22" s="225"/>
      <c r="L22" s="222"/>
      <c r="M22" s="227"/>
      <c r="N22" s="229"/>
      <c r="O22" s="231"/>
      <c r="P22" s="222"/>
      <c r="Q22" s="222"/>
      <c r="R22" s="222"/>
      <c r="S22" s="233"/>
      <c r="T22" s="70" t="s">
        <v>209</v>
      </c>
    </row>
    <row r="23" spans="1:20" ht="15.75" customHeight="1" thickTop="1" x14ac:dyDescent="0.25">
      <c r="A23" s="234" t="s">
        <v>207</v>
      </c>
      <c r="B23" s="235"/>
      <c r="C23" s="235"/>
      <c r="D23" s="235"/>
      <c r="E23" s="236"/>
      <c r="F23" s="243">
        <v>2</v>
      </c>
      <c r="G23" s="245">
        <v>7</v>
      </c>
      <c r="H23" s="247" t="s">
        <v>155</v>
      </c>
      <c r="I23" s="245">
        <f>'7) STD-f''creciente-VIOL'!$N$3</f>
        <v>0.55000000000000004</v>
      </c>
      <c r="J23" s="245">
        <f>'7) STD-f''creciente-VIOL'!$P$3</f>
        <v>0.33333333333333331</v>
      </c>
      <c r="K23" s="245">
        <f>'7) STD-f''creciente-VIOL'!$N$4</f>
        <v>23</v>
      </c>
      <c r="L23" s="245">
        <f>'7) STD-f''creciente-VIOL'!$N$5</f>
        <v>1.43</v>
      </c>
      <c r="M23" s="251" t="s">
        <v>201</v>
      </c>
      <c r="N23" s="254">
        <v>12</v>
      </c>
      <c r="O23" s="256" t="s">
        <v>121</v>
      </c>
      <c r="P23" s="245" t="s">
        <v>175</v>
      </c>
      <c r="Q23" s="245" t="s">
        <v>160</v>
      </c>
      <c r="R23" s="245" t="s">
        <v>176</v>
      </c>
      <c r="S23" s="253">
        <f>(3+4)*4</f>
        <v>28</v>
      </c>
      <c r="T23" s="70" t="s">
        <v>210</v>
      </c>
    </row>
    <row r="24" spans="1:20" x14ac:dyDescent="0.25">
      <c r="A24" s="237"/>
      <c r="B24" s="238"/>
      <c r="C24" s="238"/>
      <c r="D24" s="238"/>
      <c r="E24" s="239"/>
      <c r="F24" s="244"/>
      <c r="G24" s="246"/>
      <c r="H24" s="248"/>
      <c r="I24" s="246"/>
      <c r="J24" s="246"/>
      <c r="K24" s="246"/>
      <c r="L24" s="246"/>
      <c r="M24" s="252"/>
      <c r="N24" s="255"/>
      <c r="O24" s="246"/>
      <c r="P24" s="246"/>
      <c r="Q24" s="246"/>
      <c r="R24" s="246"/>
      <c r="S24" s="207"/>
    </row>
    <row r="25" spans="1:20" x14ac:dyDescent="0.25">
      <c r="A25" s="237"/>
      <c r="B25" s="238"/>
      <c r="C25" s="238"/>
      <c r="D25" s="238"/>
      <c r="E25" s="239"/>
      <c r="F25" s="244"/>
      <c r="G25" s="249">
        <f>G21</f>
        <v>8</v>
      </c>
      <c r="H25" s="249" t="str">
        <f t="shared" ref="H25:S25" si="5">H21</f>
        <v>Standards</v>
      </c>
      <c r="I25" s="249">
        <f t="shared" si="5"/>
        <v>0.55000000000000004</v>
      </c>
      <c r="J25" s="249">
        <f t="shared" si="5"/>
        <v>0.33333333333333331</v>
      </c>
      <c r="K25" s="249">
        <f t="shared" si="5"/>
        <v>25.86</v>
      </c>
      <c r="L25" s="249">
        <f t="shared" si="5"/>
        <v>0</v>
      </c>
      <c r="M25" s="249" t="str">
        <f t="shared" si="5"/>
        <v>Violations</v>
      </c>
      <c r="N25" s="249">
        <f t="shared" si="5"/>
        <v>12</v>
      </c>
      <c r="O25" s="249" t="str">
        <f t="shared" si="5"/>
        <v>-</v>
      </c>
      <c r="P25" s="249" t="str">
        <f t="shared" si="5"/>
        <v>H = 1; L = 2</v>
      </c>
      <c r="Q25" s="249" t="str">
        <f t="shared" si="5"/>
        <v>H = 3; L = 4</v>
      </c>
      <c r="R25" s="249" t="str">
        <f t="shared" si="5"/>
        <v>H = 2; L = 2</v>
      </c>
      <c r="S25" s="249">
        <f t="shared" si="5"/>
        <v>28</v>
      </c>
    </row>
    <row r="26" spans="1:20" x14ac:dyDescent="0.25">
      <c r="A26" s="237"/>
      <c r="B26" s="238"/>
      <c r="C26" s="238"/>
      <c r="D26" s="238"/>
      <c r="E26" s="239"/>
      <c r="F26" s="244"/>
      <c r="G26" s="250"/>
      <c r="H26" s="250"/>
      <c r="I26" s="250"/>
      <c r="J26" s="250"/>
      <c r="K26" s="250"/>
      <c r="L26" s="250"/>
      <c r="M26" s="250"/>
      <c r="N26" s="250"/>
      <c r="O26" s="250"/>
      <c r="P26" s="250"/>
      <c r="Q26" s="250"/>
      <c r="R26" s="250"/>
      <c r="S26" s="250"/>
      <c r="T26" s="74" t="s">
        <v>211</v>
      </c>
    </row>
    <row r="27" spans="1:20" x14ac:dyDescent="0.25">
      <c r="A27" s="237"/>
      <c r="B27" s="238"/>
      <c r="C27" s="238"/>
      <c r="D27" s="238"/>
      <c r="E27" s="239"/>
      <c r="F27" s="244"/>
      <c r="G27" s="246">
        <v>9</v>
      </c>
      <c r="H27" s="248" t="s">
        <v>155</v>
      </c>
      <c r="I27" s="249">
        <f>'9) '!E3</f>
        <v>0.29109701187065085</v>
      </c>
      <c r="J27" s="249">
        <f>'9) '!E10</f>
        <v>0.17642243143675806</v>
      </c>
      <c r="K27" s="249">
        <f>'9) '!E4</f>
        <v>0</v>
      </c>
      <c r="L27" s="246">
        <f>'9) '!E5</f>
        <v>24.43</v>
      </c>
      <c r="M27" s="258" t="s">
        <v>201</v>
      </c>
      <c r="N27" s="260">
        <v>12</v>
      </c>
      <c r="O27" s="261" t="s">
        <v>121</v>
      </c>
      <c r="P27" s="246" t="s">
        <v>175</v>
      </c>
      <c r="Q27" s="246" t="s">
        <v>160</v>
      </c>
      <c r="R27" s="246" t="s">
        <v>176</v>
      </c>
      <c r="S27" s="206">
        <f>(3+4)*4</f>
        <v>28</v>
      </c>
      <c r="T27" s="70" t="s">
        <v>212</v>
      </c>
    </row>
    <row r="28" spans="1:20" x14ac:dyDescent="0.25">
      <c r="A28" s="237"/>
      <c r="B28" s="238"/>
      <c r="C28" s="238"/>
      <c r="D28" s="238"/>
      <c r="E28" s="239"/>
      <c r="F28" s="244"/>
      <c r="G28" s="246"/>
      <c r="H28" s="248"/>
      <c r="I28" s="250"/>
      <c r="J28" s="250"/>
      <c r="K28" s="250"/>
      <c r="L28" s="246"/>
      <c r="M28" s="252"/>
      <c r="N28" s="255"/>
      <c r="O28" s="246"/>
      <c r="P28" s="246"/>
      <c r="Q28" s="246"/>
      <c r="R28" s="246"/>
      <c r="S28" s="207"/>
      <c r="T28" s="70">
        <f>10*8*3*5</f>
        <v>1200</v>
      </c>
    </row>
    <row r="29" spans="1:20" x14ac:dyDescent="0.25">
      <c r="A29" s="237"/>
      <c r="B29" s="238"/>
      <c r="C29" s="238"/>
      <c r="D29" s="238"/>
      <c r="E29" s="239"/>
      <c r="F29" s="244"/>
      <c r="G29" s="246">
        <v>3</v>
      </c>
      <c r="H29" s="257" t="s">
        <v>199</v>
      </c>
      <c r="I29" s="246">
        <v>0.65</v>
      </c>
      <c r="J29" s="246">
        <v>0.65</v>
      </c>
      <c r="K29" s="246">
        <v>17.5</v>
      </c>
      <c r="L29" s="246">
        <v>1.43</v>
      </c>
      <c r="M29" s="258" t="s">
        <v>201</v>
      </c>
      <c r="N29" s="255">
        <v>12</v>
      </c>
      <c r="O29" s="259" t="s">
        <v>182</v>
      </c>
      <c r="P29" s="246" t="s">
        <v>175</v>
      </c>
      <c r="Q29" s="246" t="s">
        <v>160</v>
      </c>
      <c r="R29" s="246" t="s">
        <v>176</v>
      </c>
      <c r="S29" s="206">
        <v>28</v>
      </c>
    </row>
    <row r="30" spans="1:20" x14ac:dyDescent="0.25">
      <c r="A30" s="237"/>
      <c r="B30" s="238"/>
      <c r="C30" s="238"/>
      <c r="D30" s="238"/>
      <c r="E30" s="239"/>
      <c r="F30" s="244"/>
      <c r="G30" s="246"/>
      <c r="H30" s="238"/>
      <c r="I30" s="246"/>
      <c r="J30" s="246"/>
      <c r="K30" s="246"/>
      <c r="L30" s="246"/>
      <c r="M30" s="252"/>
      <c r="N30" s="255"/>
      <c r="O30" s="246"/>
      <c r="P30" s="246"/>
      <c r="Q30" s="246"/>
      <c r="R30" s="246"/>
      <c r="S30" s="207"/>
    </row>
    <row r="31" spans="1:20" x14ac:dyDescent="0.25">
      <c r="A31" s="237"/>
      <c r="B31" s="238"/>
      <c r="C31" s="238"/>
      <c r="D31" s="238"/>
      <c r="E31" s="239"/>
      <c r="F31" s="244"/>
      <c r="G31" s="249">
        <v>10</v>
      </c>
      <c r="H31" s="257" t="s">
        <v>199</v>
      </c>
      <c r="I31" s="249">
        <f>'10)'!E3</f>
        <v>0.34955097728473322</v>
      </c>
      <c r="J31" s="249">
        <f>'10)'!E3</f>
        <v>0.34955097728473322</v>
      </c>
      <c r="K31" s="249">
        <v>0</v>
      </c>
      <c r="L31" s="249">
        <f>'10)'!E5</f>
        <v>18.93</v>
      </c>
      <c r="M31" s="258" t="s">
        <v>201</v>
      </c>
      <c r="N31" s="255">
        <v>12</v>
      </c>
      <c r="O31" s="259" t="s">
        <v>182</v>
      </c>
      <c r="P31" s="246" t="s">
        <v>175</v>
      </c>
      <c r="Q31" s="246" t="s">
        <v>160</v>
      </c>
      <c r="R31" s="246" t="s">
        <v>176</v>
      </c>
      <c r="S31" s="206">
        <v>28</v>
      </c>
    </row>
    <row r="32" spans="1:20" ht="15.75" thickBot="1" x14ac:dyDescent="0.3">
      <c r="A32" s="240"/>
      <c r="B32" s="241"/>
      <c r="C32" s="241"/>
      <c r="D32" s="241"/>
      <c r="E32" s="242"/>
      <c r="F32" s="244"/>
      <c r="G32" s="262"/>
      <c r="H32" s="263"/>
      <c r="I32" s="262"/>
      <c r="J32" s="262"/>
      <c r="K32" s="262"/>
      <c r="L32" s="262"/>
      <c r="M32" s="292"/>
      <c r="N32" s="293"/>
      <c r="O32" s="249"/>
      <c r="P32" s="249"/>
      <c r="Q32" s="249"/>
      <c r="R32" s="249"/>
      <c r="S32" s="273"/>
    </row>
    <row r="33" spans="1:21" ht="15.75" customHeight="1" x14ac:dyDescent="0.25">
      <c r="A33" s="274" t="s">
        <v>219</v>
      </c>
      <c r="B33" s="275"/>
      <c r="C33" s="275"/>
      <c r="D33" s="275"/>
      <c r="E33" s="276"/>
      <c r="F33" s="283">
        <v>3</v>
      </c>
      <c r="G33" s="286">
        <v>5</v>
      </c>
      <c r="H33" s="288" t="s">
        <v>155</v>
      </c>
      <c r="I33" s="270">
        <f>'5) STD-f''creciente-CUMPL'!$N$3</f>
        <v>0.7</v>
      </c>
      <c r="J33" s="270">
        <f>I33</f>
        <v>0.7</v>
      </c>
      <c r="K33" s="268">
        <f>'5) STD-f''creciente-CUMPL'!$N$4</f>
        <v>23</v>
      </c>
      <c r="L33" s="270">
        <f>'5) STD-f''creciente-CUMPL'!$N$5</f>
        <v>1.43</v>
      </c>
      <c r="M33" s="290" t="s">
        <v>200</v>
      </c>
      <c r="N33" s="264">
        <f t="shared" ref="N33" si="6">4*4+3*4</f>
        <v>28</v>
      </c>
      <c r="O33" s="266" t="s">
        <v>121</v>
      </c>
      <c r="P33" s="268" t="s">
        <v>160</v>
      </c>
      <c r="Q33" s="268" t="s">
        <v>160</v>
      </c>
      <c r="R33" s="270">
        <v>0</v>
      </c>
      <c r="S33" s="271">
        <v>28</v>
      </c>
      <c r="T33" s="74" t="s">
        <v>211</v>
      </c>
    </row>
    <row r="34" spans="1:21" x14ac:dyDescent="0.25">
      <c r="A34" s="277"/>
      <c r="B34" s="278"/>
      <c r="C34" s="278"/>
      <c r="D34" s="278"/>
      <c r="E34" s="279"/>
      <c r="F34" s="284"/>
      <c r="G34" s="287"/>
      <c r="H34" s="289"/>
      <c r="I34" s="267"/>
      <c r="J34" s="267"/>
      <c r="K34" s="269"/>
      <c r="L34" s="267"/>
      <c r="M34" s="291"/>
      <c r="N34" s="265"/>
      <c r="O34" s="267"/>
      <c r="P34" s="269"/>
      <c r="Q34" s="269"/>
      <c r="R34" s="267"/>
      <c r="S34" s="272"/>
      <c r="T34" s="70" t="s">
        <v>213</v>
      </c>
    </row>
    <row r="35" spans="1:21" x14ac:dyDescent="0.25">
      <c r="A35" s="277"/>
      <c r="B35" s="278"/>
      <c r="C35" s="278"/>
      <c r="D35" s="278"/>
      <c r="E35" s="279"/>
      <c r="F35" s="284"/>
      <c r="G35" s="297">
        <f>G17</f>
        <v>6</v>
      </c>
      <c r="H35" s="296" t="str">
        <f t="shared" ref="H35:S35" si="7">H17</f>
        <v>Standards</v>
      </c>
      <c r="I35" s="296">
        <f t="shared" si="7"/>
        <v>0.7</v>
      </c>
      <c r="J35" s="296">
        <f t="shared" si="7"/>
        <v>0.7</v>
      </c>
      <c r="K35" s="296">
        <f t="shared" si="7"/>
        <v>23</v>
      </c>
      <c r="L35" s="296">
        <f t="shared" si="7"/>
        <v>0</v>
      </c>
      <c r="M35" s="296" t="str">
        <f t="shared" si="7"/>
        <v>Compliance</v>
      </c>
      <c r="N35" s="296">
        <f t="shared" si="7"/>
        <v>28</v>
      </c>
      <c r="O35" s="296" t="str">
        <f t="shared" si="7"/>
        <v>-</v>
      </c>
      <c r="P35" s="296" t="str">
        <f t="shared" si="7"/>
        <v>H = 3; L = 4</v>
      </c>
      <c r="Q35" s="296" t="str">
        <f t="shared" si="7"/>
        <v>H = 3; L = 4</v>
      </c>
      <c r="R35" s="296">
        <f t="shared" si="7"/>
        <v>0</v>
      </c>
      <c r="S35" s="294">
        <f t="shared" si="7"/>
        <v>28</v>
      </c>
      <c r="T35" s="70">
        <v>10</v>
      </c>
      <c r="U35" s="70" t="s">
        <v>214</v>
      </c>
    </row>
    <row r="36" spans="1:21" x14ac:dyDescent="0.25">
      <c r="A36" s="277"/>
      <c r="B36" s="278"/>
      <c r="C36" s="278"/>
      <c r="D36" s="278"/>
      <c r="E36" s="279"/>
      <c r="F36" s="284"/>
      <c r="G36" s="298"/>
      <c r="H36" s="269"/>
      <c r="I36" s="269"/>
      <c r="J36" s="269"/>
      <c r="K36" s="269"/>
      <c r="L36" s="269"/>
      <c r="M36" s="269"/>
      <c r="N36" s="269"/>
      <c r="O36" s="269"/>
      <c r="P36" s="269"/>
      <c r="Q36" s="269"/>
      <c r="R36" s="269"/>
      <c r="S36" s="295"/>
      <c r="T36" s="70">
        <v>8</v>
      </c>
      <c r="U36" s="70" t="s">
        <v>215</v>
      </c>
    </row>
    <row r="37" spans="1:21" x14ac:dyDescent="0.25">
      <c r="A37" s="277"/>
      <c r="B37" s="278"/>
      <c r="C37" s="278"/>
      <c r="D37" s="278"/>
      <c r="E37" s="279"/>
      <c r="F37" s="284"/>
      <c r="G37" s="287">
        <v>7</v>
      </c>
      <c r="H37" s="289" t="s">
        <v>155</v>
      </c>
      <c r="I37" s="267">
        <f>'7) STD-f''creciente-VIOL'!$N$3</f>
        <v>0.55000000000000004</v>
      </c>
      <c r="J37" s="267">
        <f>'7) STD-f''creciente-VIOL'!$P$3</f>
        <v>0.33333333333333331</v>
      </c>
      <c r="K37" s="296">
        <f>'7) STD-f''creciente-VIOL'!$N$4</f>
        <v>23</v>
      </c>
      <c r="L37" s="267">
        <f>'7) STD-f''creciente-VIOL'!$N$5</f>
        <v>1.43</v>
      </c>
      <c r="M37" s="267" t="s">
        <v>201</v>
      </c>
      <c r="N37" s="299">
        <v>20</v>
      </c>
      <c r="O37" s="300" t="s">
        <v>121</v>
      </c>
      <c r="P37" s="267" t="s">
        <v>172</v>
      </c>
      <c r="Q37" s="267" t="s">
        <v>160</v>
      </c>
      <c r="R37" s="267" t="s">
        <v>173</v>
      </c>
      <c r="S37" s="301">
        <f>(3+4)*4</f>
        <v>28</v>
      </c>
      <c r="T37" s="70">
        <v>3</v>
      </c>
      <c r="U37" s="70" t="s">
        <v>216</v>
      </c>
    </row>
    <row r="38" spans="1:21" x14ac:dyDescent="0.25">
      <c r="A38" s="277"/>
      <c r="B38" s="278"/>
      <c r="C38" s="278"/>
      <c r="D38" s="278"/>
      <c r="E38" s="279"/>
      <c r="F38" s="284"/>
      <c r="G38" s="287"/>
      <c r="H38" s="289"/>
      <c r="I38" s="267"/>
      <c r="J38" s="267"/>
      <c r="K38" s="269"/>
      <c r="L38" s="267"/>
      <c r="M38" s="267"/>
      <c r="N38" s="265"/>
      <c r="O38" s="267"/>
      <c r="P38" s="267"/>
      <c r="Q38" s="267"/>
      <c r="R38" s="267"/>
      <c r="S38" s="272"/>
      <c r="T38" s="70">
        <v>4</v>
      </c>
      <c r="U38" s="70" t="s">
        <v>217</v>
      </c>
    </row>
    <row r="39" spans="1:21" x14ac:dyDescent="0.25">
      <c r="A39" s="277"/>
      <c r="B39" s="278"/>
      <c r="C39" s="278"/>
      <c r="D39" s="278"/>
      <c r="E39" s="279"/>
      <c r="F39" s="284"/>
      <c r="G39" s="302">
        <f>G21</f>
        <v>8</v>
      </c>
      <c r="H39" s="303" t="str">
        <f t="shared" ref="H39:S39" si="8">H21</f>
        <v>Standards</v>
      </c>
      <c r="I39" s="303">
        <f t="shared" si="8"/>
        <v>0.55000000000000004</v>
      </c>
      <c r="J39" s="303">
        <f t="shared" si="8"/>
        <v>0.33333333333333331</v>
      </c>
      <c r="K39" s="303">
        <f t="shared" si="8"/>
        <v>25.86</v>
      </c>
      <c r="L39" s="303">
        <f t="shared" si="8"/>
        <v>0</v>
      </c>
      <c r="M39" s="303" t="str">
        <f t="shared" si="8"/>
        <v>Violations</v>
      </c>
      <c r="N39" s="303">
        <f t="shared" si="8"/>
        <v>12</v>
      </c>
      <c r="O39" s="303" t="str">
        <f t="shared" si="8"/>
        <v>-</v>
      </c>
      <c r="P39" s="303" t="str">
        <f t="shared" si="8"/>
        <v>H = 1; L = 2</v>
      </c>
      <c r="Q39" s="303" t="str">
        <f t="shared" si="8"/>
        <v>H = 3; L = 4</v>
      </c>
      <c r="R39" s="303" t="str">
        <f t="shared" si="8"/>
        <v>H = 2; L = 2</v>
      </c>
      <c r="S39" s="306">
        <f t="shared" si="8"/>
        <v>28</v>
      </c>
      <c r="T39" s="1">
        <f>+T38*T37*T36*T35</f>
        <v>960</v>
      </c>
      <c r="U39" s="70" t="s">
        <v>218</v>
      </c>
    </row>
    <row r="40" spans="1:21" ht="15.75" thickBot="1" x14ac:dyDescent="0.3">
      <c r="A40" s="280"/>
      <c r="B40" s="281"/>
      <c r="C40" s="281"/>
      <c r="D40" s="281"/>
      <c r="E40" s="282"/>
      <c r="F40" s="285"/>
      <c r="G40" s="302"/>
      <c r="H40" s="303"/>
      <c r="I40" s="303"/>
      <c r="J40" s="303"/>
      <c r="K40" s="303"/>
      <c r="L40" s="303"/>
      <c r="M40" s="303"/>
      <c r="N40" s="303"/>
      <c r="O40" s="303"/>
      <c r="P40" s="303"/>
      <c r="Q40" s="303"/>
      <c r="R40" s="303"/>
      <c r="S40" s="306"/>
    </row>
    <row r="41" spans="1:21" ht="15.75" customHeight="1" x14ac:dyDescent="0.25">
      <c r="A41" s="274" t="s">
        <v>205</v>
      </c>
      <c r="B41" s="275"/>
      <c r="C41" s="275"/>
      <c r="D41" s="275"/>
      <c r="E41" s="276"/>
      <c r="F41" s="283">
        <v>4</v>
      </c>
      <c r="G41" s="286">
        <f>G7</f>
        <v>1</v>
      </c>
      <c r="H41" s="290" t="s">
        <v>199</v>
      </c>
      <c r="I41" s="270">
        <f t="shared" ref="I41:S41" si="9">I7</f>
        <v>0.7</v>
      </c>
      <c r="J41" s="270">
        <f t="shared" si="9"/>
        <v>0.7</v>
      </c>
      <c r="K41" s="270">
        <f t="shared" si="9"/>
        <v>17.5</v>
      </c>
      <c r="L41" s="270">
        <f t="shared" si="9"/>
        <v>1.43</v>
      </c>
      <c r="M41" s="270" t="str">
        <f t="shared" si="9"/>
        <v>Compliance</v>
      </c>
      <c r="N41" s="270">
        <f t="shared" si="9"/>
        <v>28</v>
      </c>
      <c r="O41" s="270" t="str">
        <f t="shared" si="9"/>
        <v>12 - 13</v>
      </c>
      <c r="P41" s="270" t="str">
        <f t="shared" si="9"/>
        <v>H = 3; L = 4</v>
      </c>
      <c r="Q41" s="270" t="str">
        <f t="shared" si="9"/>
        <v>H = 3; L = 4</v>
      </c>
      <c r="R41" s="270">
        <f t="shared" si="9"/>
        <v>0</v>
      </c>
      <c r="S41" s="304">
        <f t="shared" si="9"/>
        <v>28</v>
      </c>
      <c r="T41" s="74" t="s">
        <v>211</v>
      </c>
    </row>
    <row r="42" spans="1:21" x14ac:dyDescent="0.25">
      <c r="A42" s="277"/>
      <c r="B42" s="278"/>
      <c r="C42" s="278"/>
      <c r="D42" s="278"/>
      <c r="E42" s="279"/>
      <c r="F42" s="284"/>
      <c r="G42" s="287"/>
      <c r="H42" s="291"/>
      <c r="I42" s="267"/>
      <c r="J42" s="267"/>
      <c r="K42" s="267"/>
      <c r="L42" s="267"/>
      <c r="M42" s="267"/>
      <c r="N42" s="267"/>
      <c r="O42" s="267"/>
      <c r="P42" s="267"/>
      <c r="Q42" s="267"/>
      <c r="R42" s="267"/>
      <c r="S42" s="305"/>
      <c r="T42" s="70" t="s">
        <v>213</v>
      </c>
    </row>
    <row r="43" spans="1:21" x14ac:dyDescent="0.25">
      <c r="A43" s="277"/>
      <c r="B43" s="278"/>
      <c r="C43" s="278"/>
      <c r="D43" s="278"/>
      <c r="E43" s="279"/>
      <c r="F43" s="284"/>
      <c r="G43" s="287">
        <f>G9</f>
        <v>2</v>
      </c>
      <c r="H43" s="267" t="str">
        <f t="shared" ref="H43:S43" si="10">H9</f>
        <v>Market</v>
      </c>
      <c r="I43" s="267">
        <f t="shared" si="10"/>
        <v>0.7</v>
      </c>
      <c r="J43" s="267">
        <f t="shared" si="10"/>
        <v>0.7</v>
      </c>
      <c r="K43" s="267">
        <f t="shared" si="10"/>
        <v>23</v>
      </c>
      <c r="L43" s="267">
        <f t="shared" si="10"/>
        <v>0</v>
      </c>
      <c r="M43" s="267" t="str">
        <f t="shared" si="10"/>
        <v>Compliance</v>
      </c>
      <c r="N43" s="267">
        <f t="shared" si="10"/>
        <v>28</v>
      </c>
      <c r="O43" s="267" t="str">
        <f t="shared" si="10"/>
        <v>12 - 13</v>
      </c>
      <c r="P43" s="267" t="str">
        <f t="shared" si="10"/>
        <v>H = 3; L = 4</v>
      </c>
      <c r="Q43" s="267" t="str">
        <f t="shared" si="10"/>
        <v>H = 3; L = 4</v>
      </c>
      <c r="R43" s="267">
        <f t="shared" si="10"/>
        <v>0</v>
      </c>
      <c r="S43" s="305">
        <f t="shared" si="10"/>
        <v>28</v>
      </c>
      <c r="T43" s="70">
        <v>10</v>
      </c>
      <c r="U43" s="70" t="s">
        <v>214</v>
      </c>
    </row>
    <row r="44" spans="1:21" x14ac:dyDescent="0.25">
      <c r="A44" s="277"/>
      <c r="B44" s="278"/>
      <c r="C44" s="278"/>
      <c r="D44" s="278"/>
      <c r="E44" s="279"/>
      <c r="F44" s="284"/>
      <c r="G44" s="287"/>
      <c r="H44" s="267"/>
      <c r="I44" s="267"/>
      <c r="J44" s="267"/>
      <c r="K44" s="267"/>
      <c r="L44" s="267"/>
      <c r="M44" s="267"/>
      <c r="N44" s="267"/>
      <c r="O44" s="267"/>
      <c r="P44" s="267"/>
      <c r="Q44" s="267"/>
      <c r="R44" s="267"/>
      <c r="S44" s="305"/>
      <c r="T44" s="70">
        <v>8</v>
      </c>
      <c r="U44" s="70" t="s">
        <v>215</v>
      </c>
    </row>
    <row r="45" spans="1:21" x14ac:dyDescent="0.25">
      <c r="A45" s="277"/>
      <c r="B45" s="278"/>
      <c r="C45" s="278"/>
      <c r="D45" s="278"/>
      <c r="E45" s="279"/>
      <c r="F45" s="284"/>
      <c r="G45" s="287" t="str">
        <f>G11</f>
        <v>3 (3)</v>
      </c>
      <c r="H45" s="291" t="s">
        <v>199</v>
      </c>
      <c r="I45" s="267">
        <f t="shared" ref="I45:L45" si="11">I11</f>
        <v>0.65</v>
      </c>
      <c r="J45" s="267">
        <f t="shared" si="11"/>
        <v>0.65</v>
      </c>
      <c r="K45" s="267">
        <f t="shared" si="11"/>
        <v>17.5</v>
      </c>
      <c r="L45" s="267">
        <f t="shared" si="11"/>
        <v>1.43</v>
      </c>
      <c r="M45" s="267" t="s">
        <v>201</v>
      </c>
      <c r="N45" s="267">
        <f>N11</f>
        <v>12</v>
      </c>
      <c r="O45" s="267" t="str">
        <f>O11</f>
        <v>12-13</v>
      </c>
      <c r="P45" s="267" t="str">
        <f>P11</f>
        <v>H = 1; L = 2</v>
      </c>
      <c r="Q45" s="267" t="str">
        <f t="shared" ref="Q45:S45" si="12">Q11</f>
        <v>H = 3; L = 4</v>
      </c>
      <c r="R45" s="267" t="str">
        <f t="shared" si="12"/>
        <v>H = 2; L = 2</v>
      </c>
      <c r="S45" s="305">
        <f t="shared" si="12"/>
        <v>28</v>
      </c>
      <c r="T45" s="70">
        <v>3</v>
      </c>
      <c r="U45" s="70" t="s">
        <v>216</v>
      </c>
    </row>
    <row r="46" spans="1:21" x14ac:dyDescent="0.25">
      <c r="A46" s="277"/>
      <c r="B46" s="278"/>
      <c r="C46" s="278"/>
      <c r="D46" s="278"/>
      <c r="E46" s="279"/>
      <c r="F46" s="284"/>
      <c r="G46" s="287"/>
      <c r="H46" s="291"/>
      <c r="I46" s="267"/>
      <c r="J46" s="267"/>
      <c r="K46" s="267"/>
      <c r="L46" s="267"/>
      <c r="M46" s="267"/>
      <c r="N46" s="267"/>
      <c r="O46" s="267"/>
      <c r="P46" s="267"/>
      <c r="Q46" s="267"/>
      <c r="R46" s="267"/>
      <c r="S46" s="305"/>
      <c r="T46" s="70">
        <v>4</v>
      </c>
      <c r="U46" s="70" t="s">
        <v>217</v>
      </c>
    </row>
    <row r="47" spans="1:21" x14ac:dyDescent="0.25">
      <c r="A47" s="277"/>
      <c r="B47" s="278"/>
      <c r="C47" s="278"/>
      <c r="D47" s="278"/>
      <c r="E47" s="279"/>
      <c r="F47" s="284"/>
      <c r="G47" s="287">
        <f>G31</f>
        <v>10</v>
      </c>
      <c r="H47" s="267" t="str">
        <f t="shared" ref="H47:S47" si="13">H31</f>
        <v>Market</v>
      </c>
      <c r="I47" s="267">
        <f t="shared" si="13"/>
        <v>0.34955097728473322</v>
      </c>
      <c r="J47" s="267">
        <f t="shared" si="13"/>
        <v>0.34955097728473322</v>
      </c>
      <c r="K47" s="267">
        <f t="shared" si="13"/>
        <v>0</v>
      </c>
      <c r="L47" s="267">
        <f t="shared" si="13"/>
        <v>18.93</v>
      </c>
      <c r="M47" s="267" t="str">
        <f t="shared" si="13"/>
        <v>Violations</v>
      </c>
      <c r="N47" s="267">
        <f t="shared" si="13"/>
        <v>12</v>
      </c>
      <c r="O47" s="267" t="str">
        <f t="shared" si="13"/>
        <v>12-13</v>
      </c>
      <c r="P47" s="267" t="str">
        <f t="shared" si="13"/>
        <v>H = 1; L = 2</v>
      </c>
      <c r="Q47" s="267" t="str">
        <f t="shared" si="13"/>
        <v>H = 3; L = 4</v>
      </c>
      <c r="R47" s="267" t="str">
        <f t="shared" si="13"/>
        <v>H = 2; L = 2</v>
      </c>
      <c r="S47" s="305">
        <f t="shared" si="13"/>
        <v>28</v>
      </c>
      <c r="T47" s="1">
        <f>+T46*T45*T44*T43</f>
        <v>960</v>
      </c>
      <c r="U47" s="70" t="s">
        <v>218</v>
      </c>
    </row>
    <row r="48" spans="1:21" ht="15.75" thickBot="1" x14ac:dyDescent="0.3">
      <c r="A48" s="280"/>
      <c r="B48" s="281"/>
      <c r="C48" s="281"/>
      <c r="D48" s="281"/>
      <c r="E48" s="282"/>
      <c r="F48" s="285"/>
      <c r="G48" s="307"/>
      <c r="H48" s="308"/>
      <c r="I48" s="308"/>
      <c r="J48" s="308"/>
      <c r="K48" s="308"/>
      <c r="L48" s="308"/>
      <c r="M48" s="308"/>
      <c r="N48" s="308"/>
      <c r="O48" s="308"/>
      <c r="P48" s="308"/>
      <c r="Q48" s="308"/>
      <c r="R48" s="308"/>
      <c r="S48" s="309"/>
    </row>
    <row r="49" spans="1:7" x14ac:dyDescent="0.25">
      <c r="A49" s="70" t="s">
        <v>189</v>
      </c>
    </row>
    <row r="50" spans="1:7" x14ac:dyDescent="0.25">
      <c r="A50" s="70" t="s">
        <v>194</v>
      </c>
    </row>
    <row r="51" spans="1:7" x14ac:dyDescent="0.25">
      <c r="A51" s="70" t="s">
        <v>203</v>
      </c>
    </row>
    <row r="54" spans="1:7" ht="15.75" thickBot="1" x14ac:dyDescent="0.3">
      <c r="A54" s="151" t="s">
        <v>241</v>
      </c>
      <c r="B54" s="151"/>
      <c r="C54" s="151"/>
      <c r="D54" s="151"/>
      <c r="E54" s="151"/>
      <c r="F54" s="151"/>
      <c r="G54" s="151"/>
    </row>
    <row r="55" spans="1:7" x14ac:dyDescent="0.25">
      <c r="B55" s="137" t="s">
        <v>37</v>
      </c>
      <c r="C55" s="137" t="s">
        <v>38</v>
      </c>
      <c r="E55" s="83" t="s">
        <v>229</v>
      </c>
      <c r="F55" s="84"/>
      <c r="G55" s="84"/>
    </row>
    <row r="56" spans="1:7" x14ac:dyDescent="0.25">
      <c r="B56" s="149" t="s">
        <v>237</v>
      </c>
      <c r="C56" s="150"/>
      <c r="E56" s="86" t="s">
        <v>100</v>
      </c>
      <c r="F56" s="76" t="s">
        <v>224</v>
      </c>
      <c r="G56" s="76" t="s">
        <v>225</v>
      </c>
    </row>
    <row r="57" spans="1:7" x14ac:dyDescent="0.25">
      <c r="A57" s="118" t="s">
        <v>19</v>
      </c>
      <c r="B57" s="130" t="s">
        <v>239</v>
      </c>
      <c r="C57" s="130" t="s">
        <v>238</v>
      </c>
      <c r="E57" s="88"/>
      <c r="F57" s="95" t="s">
        <v>226</v>
      </c>
      <c r="G57" s="95" t="s">
        <v>102</v>
      </c>
    </row>
    <row r="58" spans="1:7" x14ac:dyDescent="0.25">
      <c r="A58" s="120">
        <v>0</v>
      </c>
      <c r="B58" s="131">
        <f>'(1) TDP-f''crec-CUMPL'!G66</f>
        <v>17</v>
      </c>
      <c r="C58" s="131"/>
      <c r="E58" s="135">
        <v>1</v>
      </c>
      <c r="F58" s="136">
        <f>B62</f>
        <v>13</v>
      </c>
      <c r="G58" s="136">
        <f>C62</f>
        <v>12</v>
      </c>
    </row>
    <row r="59" spans="1:7" x14ac:dyDescent="0.25">
      <c r="A59" s="122">
        <v>1</v>
      </c>
      <c r="B59" s="131">
        <f>'(1) TDP-f''crec-CUMPL'!G67</f>
        <v>16</v>
      </c>
      <c r="C59" s="131">
        <f>'(1) TDP-f''crec-CUMPL'!H67</f>
        <v>18</v>
      </c>
      <c r="E59" s="91">
        <v>2</v>
      </c>
      <c r="F59" s="79">
        <f t="shared" ref="F59:F61" si="14">B63</f>
        <v>12</v>
      </c>
      <c r="G59" s="81">
        <f>C61</f>
        <v>14</v>
      </c>
    </row>
    <row r="60" spans="1:7" x14ac:dyDescent="0.25">
      <c r="A60" s="122">
        <v>2</v>
      </c>
      <c r="B60" s="131">
        <f>'(1) TDP-f''crec-CUMPL'!G68</f>
        <v>15</v>
      </c>
      <c r="C60" s="131">
        <f>'(1) TDP-f''crec-CUMPL'!H68</f>
        <v>16</v>
      </c>
      <c r="E60" s="90">
        <v>3</v>
      </c>
      <c r="F60" s="79">
        <f t="shared" si="14"/>
        <v>11</v>
      </c>
      <c r="G60" s="79">
        <f>C60</f>
        <v>16</v>
      </c>
    </row>
    <row r="61" spans="1:7" x14ac:dyDescent="0.25">
      <c r="A61" s="133">
        <v>3</v>
      </c>
      <c r="B61" s="131">
        <f>'(1) TDP-f''crec-CUMPL'!G69</f>
        <v>14</v>
      </c>
      <c r="C61" s="131">
        <f>'(1) TDP-f''crec-CUMPL'!H69</f>
        <v>14</v>
      </c>
      <c r="E61" s="86">
        <v>4</v>
      </c>
      <c r="F61" s="79">
        <f t="shared" si="14"/>
        <v>10</v>
      </c>
      <c r="G61" s="79">
        <f>C59</f>
        <v>18</v>
      </c>
    </row>
    <row r="62" spans="1:7" x14ac:dyDescent="0.25">
      <c r="A62" s="133">
        <v>4</v>
      </c>
      <c r="B62" s="138">
        <f>'(1) TDP-f''crec-CUMPL'!G70</f>
        <v>13</v>
      </c>
      <c r="C62" s="138">
        <f>'(1) TDP-f''crec-CUMPL'!H70</f>
        <v>12</v>
      </c>
      <c r="E62" s="86">
        <v>5</v>
      </c>
      <c r="F62" s="35"/>
      <c r="G62" s="35"/>
    </row>
    <row r="63" spans="1:7" x14ac:dyDescent="0.25">
      <c r="A63" s="122">
        <v>5</v>
      </c>
      <c r="B63" s="131">
        <f>'(1) TDP-f''crec-CUMPL'!G71</f>
        <v>12</v>
      </c>
      <c r="C63" s="131">
        <f>'(1) TDP-f''crec-CUMPL'!H71</f>
        <v>10</v>
      </c>
      <c r="E63" s="86">
        <v>6</v>
      </c>
      <c r="F63" s="35"/>
      <c r="G63" s="35"/>
    </row>
    <row r="64" spans="1:7" x14ac:dyDescent="0.25">
      <c r="A64" s="122">
        <v>6</v>
      </c>
      <c r="B64" s="131">
        <f>'(1) TDP-f''crec-CUMPL'!G72</f>
        <v>11</v>
      </c>
      <c r="C64" s="131">
        <f>'(1) TDP-f''crec-CUMPL'!H72</f>
        <v>8</v>
      </c>
      <c r="E64" s="86">
        <v>7</v>
      </c>
      <c r="F64" s="35"/>
      <c r="G64" s="35"/>
    </row>
    <row r="65" spans="1:7" x14ac:dyDescent="0.25">
      <c r="A65" s="122">
        <v>7</v>
      </c>
      <c r="B65" s="131">
        <f>'(1) TDP-f''crec-CUMPL'!G73</f>
        <v>10</v>
      </c>
      <c r="C65" s="131">
        <f>'(1) TDP-f''crec-CUMPL'!H73</f>
        <v>6</v>
      </c>
      <c r="E65" s="88" t="s">
        <v>242</v>
      </c>
      <c r="F65" s="35"/>
      <c r="G65" s="35"/>
    </row>
    <row r="66" spans="1:7" x14ac:dyDescent="0.25">
      <c r="A66" s="122">
        <v>8</v>
      </c>
      <c r="B66" s="131">
        <f>'(1) TDP-f''crec-CUMPL'!G74</f>
        <v>9</v>
      </c>
      <c r="C66" s="131">
        <f>'(1) TDP-f''crec-CUMPL'!H74</f>
        <v>4</v>
      </c>
      <c r="E66" s="88" t="s">
        <v>243</v>
      </c>
      <c r="F66" s="35"/>
      <c r="G66" s="35"/>
    </row>
    <row r="67" spans="1:7" x14ac:dyDescent="0.25">
      <c r="A67" s="122">
        <v>9</v>
      </c>
      <c r="B67" s="131">
        <f>'(1) TDP-f''crec-CUMPL'!G75</f>
        <v>8</v>
      </c>
      <c r="C67" s="131">
        <f>'(1) TDP-f''crec-CUMPL'!H75</f>
        <v>2</v>
      </c>
    </row>
    <row r="68" spans="1:7" x14ac:dyDescent="0.25">
      <c r="A68" s="122">
        <v>10</v>
      </c>
      <c r="C68" s="131">
        <f>'(1) TDP-f''crec-CUMPL'!H76</f>
        <v>0</v>
      </c>
    </row>
    <row r="69" spans="1:7" x14ac:dyDescent="0.25">
      <c r="A69" s="70" t="s">
        <v>244</v>
      </c>
    </row>
    <row r="70" spans="1:7" x14ac:dyDescent="0.25">
      <c r="A70" s="70" t="s">
        <v>245</v>
      </c>
    </row>
    <row r="71" spans="1:7" x14ac:dyDescent="0.25">
      <c r="A71" s="70" t="s">
        <v>246</v>
      </c>
    </row>
  </sheetData>
  <mergeCells count="294">
    <mergeCell ref="S47:S48"/>
    <mergeCell ref="M47:M48"/>
    <mergeCell ref="N47:N48"/>
    <mergeCell ref="O47:O48"/>
    <mergeCell ref="P47:P48"/>
    <mergeCell ref="Q47:Q48"/>
    <mergeCell ref="R47:R48"/>
    <mergeCell ref="P45:P46"/>
    <mergeCell ref="Q45:Q46"/>
    <mergeCell ref="R45:R46"/>
    <mergeCell ref="S45:S46"/>
    <mergeCell ref="S43:S44"/>
    <mergeCell ref="G45:G46"/>
    <mergeCell ref="H45:H46"/>
    <mergeCell ref="I45:I46"/>
    <mergeCell ref="J45:J46"/>
    <mergeCell ref="K45:K46"/>
    <mergeCell ref="L45:L46"/>
    <mergeCell ref="M45:M46"/>
    <mergeCell ref="N45:N46"/>
    <mergeCell ref="O45:O46"/>
    <mergeCell ref="M43:M44"/>
    <mergeCell ref="N43:N44"/>
    <mergeCell ref="O43:O44"/>
    <mergeCell ref="P43:P44"/>
    <mergeCell ref="Q43:Q44"/>
    <mergeCell ref="R43:R44"/>
    <mergeCell ref="G43:G44"/>
    <mergeCell ref="H43:H44"/>
    <mergeCell ref="A41:E48"/>
    <mergeCell ref="F41:F48"/>
    <mergeCell ref="G41:G42"/>
    <mergeCell ref="H41:H42"/>
    <mergeCell ref="I41:I42"/>
    <mergeCell ref="J41:J42"/>
    <mergeCell ref="K41:K42"/>
    <mergeCell ref="L41:L42"/>
    <mergeCell ref="M41:M42"/>
    <mergeCell ref="I43:I44"/>
    <mergeCell ref="J43:J44"/>
    <mergeCell ref="K43:K44"/>
    <mergeCell ref="L43:L44"/>
    <mergeCell ref="G47:G48"/>
    <mergeCell ref="H47:H48"/>
    <mergeCell ref="I47:I48"/>
    <mergeCell ref="J47:J48"/>
    <mergeCell ref="K47:K48"/>
    <mergeCell ref="L47:L48"/>
    <mergeCell ref="S37:S38"/>
    <mergeCell ref="G39:G40"/>
    <mergeCell ref="H39:H40"/>
    <mergeCell ref="I39:I40"/>
    <mergeCell ref="J39:J40"/>
    <mergeCell ref="K39:K40"/>
    <mergeCell ref="L39:L40"/>
    <mergeCell ref="S41:S42"/>
    <mergeCell ref="S39:S40"/>
    <mergeCell ref="M39:M40"/>
    <mergeCell ref="N39:N40"/>
    <mergeCell ref="O39:O40"/>
    <mergeCell ref="P39:P40"/>
    <mergeCell ref="Q39:Q40"/>
    <mergeCell ref="R39:R40"/>
    <mergeCell ref="N41:N42"/>
    <mergeCell ref="O41:O42"/>
    <mergeCell ref="P41:P42"/>
    <mergeCell ref="Q41:Q42"/>
    <mergeCell ref="R41:R42"/>
    <mergeCell ref="Q35:Q36"/>
    <mergeCell ref="R35:R36"/>
    <mergeCell ref="G35:G36"/>
    <mergeCell ref="H35:H36"/>
    <mergeCell ref="I35:I36"/>
    <mergeCell ref="J35:J36"/>
    <mergeCell ref="K35:K36"/>
    <mergeCell ref="L35:L36"/>
    <mergeCell ref="P37:P38"/>
    <mergeCell ref="Q37:Q38"/>
    <mergeCell ref="R37:R38"/>
    <mergeCell ref="K37:K38"/>
    <mergeCell ref="L37:L38"/>
    <mergeCell ref="M37:M38"/>
    <mergeCell ref="N37:N38"/>
    <mergeCell ref="O37:O38"/>
    <mergeCell ref="M35:M36"/>
    <mergeCell ref="N35:N36"/>
    <mergeCell ref="O35:O36"/>
    <mergeCell ref="P35:P36"/>
    <mergeCell ref="Q33:Q34"/>
    <mergeCell ref="R33:R34"/>
    <mergeCell ref="S33:S34"/>
    <mergeCell ref="S31:S32"/>
    <mergeCell ref="A33:E40"/>
    <mergeCell ref="F33:F40"/>
    <mergeCell ref="G33:G34"/>
    <mergeCell ref="H33:H34"/>
    <mergeCell ref="I33:I34"/>
    <mergeCell ref="J33:J34"/>
    <mergeCell ref="K33:K34"/>
    <mergeCell ref="L33:L34"/>
    <mergeCell ref="M33:M34"/>
    <mergeCell ref="M31:M32"/>
    <mergeCell ref="N31:N32"/>
    <mergeCell ref="O31:O32"/>
    <mergeCell ref="P31:P32"/>
    <mergeCell ref="Q31:Q32"/>
    <mergeCell ref="R31:R32"/>
    <mergeCell ref="S35:S36"/>
    <mergeCell ref="G37:G38"/>
    <mergeCell ref="H37:H38"/>
    <mergeCell ref="I37:I38"/>
    <mergeCell ref="J37:J38"/>
    <mergeCell ref="G31:G32"/>
    <mergeCell ref="H31:H32"/>
    <mergeCell ref="I31:I32"/>
    <mergeCell ref="J31:J32"/>
    <mergeCell ref="K31:K32"/>
    <mergeCell ref="L31:L32"/>
    <mergeCell ref="N33:N34"/>
    <mergeCell ref="O33:O34"/>
    <mergeCell ref="P33:P34"/>
    <mergeCell ref="H27:H28"/>
    <mergeCell ref="I27:I28"/>
    <mergeCell ref="J27:J28"/>
    <mergeCell ref="K27:K28"/>
    <mergeCell ref="L27:L28"/>
    <mergeCell ref="P29:P30"/>
    <mergeCell ref="Q29:Q30"/>
    <mergeCell ref="R29:R30"/>
    <mergeCell ref="S29:S30"/>
    <mergeCell ref="S25:S26"/>
    <mergeCell ref="Q23:Q24"/>
    <mergeCell ref="R23:R24"/>
    <mergeCell ref="S23:S24"/>
    <mergeCell ref="N23:N24"/>
    <mergeCell ref="O23:O24"/>
    <mergeCell ref="P23:P24"/>
    <mergeCell ref="S27:S28"/>
    <mergeCell ref="G29:G30"/>
    <mergeCell ref="H29:H30"/>
    <mergeCell ref="I29:I30"/>
    <mergeCell ref="J29:J30"/>
    <mergeCell ref="K29:K30"/>
    <mergeCell ref="L29:L30"/>
    <mergeCell ref="M29:M30"/>
    <mergeCell ref="N29:N30"/>
    <mergeCell ref="O29:O30"/>
    <mergeCell ref="M27:M28"/>
    <mergeCell ref="N27:N28"/>
    <mergeCell ref="O27:O28"/>
    <mergeCell ref="P27:P28"/>
    <mergeCell ref="Q27:Q28"/>
    <mergeCell ref="R27:R28"/>
    <mergeCell ref="G27:G28"/>
    <mergeCell ref="Q21:Q22"/>
    <mergeCell ref="R21:R22"/>
    <mergeCell ref="S21:S22"/>
    <mergeCell ref="A23:E32"/>
    <mergeCell ref="F23:F32"/>
    <mergeCell ref="G23:G24"/>
    <mergeCell ref="H23:H24"/>
    <mergeCell ref="I23:I24"/>
    <mergeCell ref="J23:J24"/>
    <mergeCell ref="G25:G26"/>
    <mergeCell ref="H25:H26"/>
    <mergeCell ref="I25:I26"/>
    <mergeCell ref="J25:J26"/>
    <mergeCell ref="K25:K26"/>
    <mergeCell ref="L25:L26"/>
    <mergeCell ref="M25:M26"/>
    <mergeCell ref="K23:K24"/>
    <mergeCell ref="L23:L24"/>
    <mergeCell ref="M23:M24"/>
    <mergeCell ref="N25:N26"/>
    <mergeCell ref="O25:O26"/>
    <mergeCell ref="P25:P26"/>
    <mergeCell ref="Q25:Q26"/>
    <mergeCell ref="R25:R26"/>
    <mergeCell ref="S17:S18"/>
    <mergeCell ref="G19:G20"/>
    <mergeCell ref="H19:H20"/>
    <mergeCell ref="I19:I20"/>
    <mergeCell ref="J19:J20"/>
    <mergeCell ref="K19:K20"/>
    <mergeCell ref="L19:L20"/>
    <mergeCell ref="S19:S20"/>
    <mergeCell ref="G21:G22"/>
    <mergeCell ref="H21:H22"/>
    <mergeCell ref="I21:I22"/>
    <mergeCell ref="J21:J22"/>
    <mergeCell ref="K21:K22"/>
    <mergeCell ref="L21:L22"/>
    <mergeCell ref="M21:M22"/>
    <mergeCell ref="N21:N22"/>
    <mergeCell ref="O21:O22"/>
    <mergeCell ref="M19:M20"/>
    <mergeCell ref="N19:N20"/>
    <mergeCell ref="O19:O20"/>
    <mergeCell ref="P19:P20"/>
    <mergeCell ref="Q19:Q20"/>
    <mergeCell ref="R19:R20"/>
    <mergeCell ref="P21:P22"/>
    <mergeCell ref="N17:N18"/>
    <mergeCell ref="O17:O18"/>
    <mergeCell ref="M15:M16"/>
    <mergeCell ref="N15:N16"/>
    <mergeCell ref="O15:O16"/>
    <mergeCell ref="P15:P16"/>
    <mergeCell ref="Q15:Q16"/>
    <mergeCell ref="R15:R16"/>
    <mergeCell ref="P17:P18"/>
    <mergeCell ref="Q17:Q18"/>
    <mergeCell ref="R17:R18"/>
    <mergeCell ref="R13:R14"/>
    <mergeCell ref="S13:S14"/>
    <mergeCell ref="G15:G16"/>
    <mergeCell ref="H15:H16"/>
    <mergeCell ref="I15:I16"/>
    <mergeCell ref="J15:J16"/>
    <mergeCell ref="K15:K16"/>
    <mergeCell ref="L15:L16"/>
    <mergeCell ref="S15:S16"/>
    <mergeCell ref="S11:S12"/>
    <mergeCell ref="G13:G14"/>
    <mergeCell ref="H13:H14"/>
    <mergeCell ref="I13:I14"/>
    <mergeCell ref="J13:J14"/>
    <mergeCell ref="K13:K14"/>
    <mergeCell ref="L13:L14"/>
    <mergeCell ref="M13:M14"/>
    <mergeCell ref="N13:N14"/>
    <mergeCell ref="O13:O14"/>
    <mergeCell ref="M11:M12"/>
    <mergeCell ref="N11:N12"/>
    <mergeCell ref="O11:O12"/>
    <mergeCell ref="P11:P12"/>
    <mergeCell ref="Q11:Q12"/>
    <mergeCell ref="R11:R12"/>
    <mergeCell ref="G11:G12"/>
    <mergeCell ref="H11:H12"/>
    <mergeCell ref="I11:I12"/>
    <mergeCell ref="J11:J12"/>
    <mergeCell ref="K11:K12"/>
    <mergeCell ref="L11:L12"/>
    <mergeCell ref="P13:P14"/>
    <mergeCell ref="Q13:Q14"/>
    <mergeCell ref="N9:N10"/>
    <mergeCell ref="O9:O10"/>
    <mergeCell ref="P9:P10"/>
    <mergeCell ref="Q9:Q10"/>
    <mergeCell ref="R9:R10"/>
    <mergeCell ref="S9:S10"/>
    <mergeCell ref="Q7:Q8"/>
    <mergeCell ref="R7:R8"/>
    <mergeCell ref="S7:S8"/>
    <mergeCell ref="N7:N8"/>
    <mergeCell ref="O7:O8"/>
    <mergeCell ref="P7:P8"/>
    <mergeCell ref="A1:G4"/>
    <mergeCell ref="G9:G10"/>
    <mergeCell ref="H9:H10"/>
    <mergeCell ref="I9:I10"/>
    <mergeCell ref="J9:J10"/>
    <mergeCell ref="K9:K10"/>
    <mergeCell ref="L9:L10"/>
    <mergeCell ref="M9:M10"/>
    <mergeCell ref="K7:K8"/>
    <mergeCell ref="L7:L8"/>
    <mergeCell ref="M7:M8"/>
    <mergeCell ref="G17:G18"/>
    <mergeCell ref="H17:H18"/>
    <mergeCell ref="I17:I18"/>
    <mergeCell ref="J17:J18"/>
    <mergeCell ref="K17:K18"/>
    <mergeCell ref="L17:L18"/>
    <mergeCell ref="M17:M18"/>
    <mergeCell ref="A54:G54"/>
    <mergeCell ref="B56:C56"/>
    <mergeCell ref="R4:R6"/>
    <mergeCell ref="S4:S6"/>
    <mergeCell ref="M5:M6"/>
    <mergeCell ref="A6:F6"/>
    <mergeCell ref="A7:E22"/>
    <mergeCell ref="F7:F22"/>
    <mergeCell ref="G7:G8"/>
    <mergeCell ref="H7:H8"/>
    <mergeCell ref="I7:I8"/>
    <mergeCell ref="J7:J8"/>
    <mergeCell ref="N1:N6"/>
    <mergeCell ref="P1:P6"/>
    <mergeCell ref="I2:J5"/>
    <mergeCell ref="O3:O5"/>
    <mergeCell ref="K4:L5"/>
    <mergeCell ref="Q4:Q6"/>
  </mergeCells>
  <pageMargins left="0.7" right="0.7" top="0.75" bottom="0.75" header="0.3" footer="0.3"/>
  <pageSetup paperSize="9" scale="4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2"/>
  <sheetViews>
    <sheetView topLeftCell="K1" zoomScaleNormal="100" workbookViewId="0">
      <selection activeCell="K3" sqref="K3"/>
    </sheetView>
  </sheetViews>
  <sheetFormatPr baseColWidth="10" defaultRowHeight="15" x14ac:dyDescent="0.25"/>
  <cols>
    <col min="1" max="1" width="11.85546875" bestFit="1" customWidth="1"/>
    <col min="2" max="2" width="16.140625" bestFit="1" customWidth="1"/>
    <col min="3" max="3" width="16.85546875" bestFit="1" customWidth="1"/>
    <col min="4" max="4" width="8.28515625" customWidth="1"/>
    <col min="5" max="6" width="4.28515625" bestFit="1" customWidth="1"/>
    <col min="7" max="7" width="4.7109375" customWidth="1"/>
    <col min="8" max="8" width="10.28515625" customWidth="1"/>
    <col min="9" max="9" width="10.85546875" bestFit="1" customWidth="1"/>
    <col min="10" max="10" width="9.42578125" bestFit="1" customWidth="1"/>
    <col min="11" max="11" width="10.85546875" customWidth="1"/>
    <col min="12" max="12" width="9.42578125" bestFit="1" customWidth="1"/>
    <col min="13" max="13" width="10.85546875" customWidth="1"/>
    <col min="15" max="15" width="11.42578125" customWidth="1"/>
  </cols>
  <sheetData>
    <row r="1" spans="1:16" x14ac:dyDescent="0.25">
      <c r="A1" t="s">
        <v>5</v>
      </c>
      <c r="J1" s="310" t="s">
        <v>37</v>
      </c>
      <c r="K1" s="310"/>
      <c r="L1" s="32" t="s">
        <v>38</v>
      </c>
      <c r="M1" s="32"/>
      <c r="O1" t="s">
        <v>66</v>
      </c>
      <c r="P1">
        <v>0.7</v>
      </c>
    </row>
    <row r="2" spans="1:16" x14ac:dyDescent="0.25">
      <c r="A2" t="s">
        <v>0</v>
      </c>
      <c r="B2" t="s">
        <v>1</v>
      </c>
      <c r="C2" t="s">
        <v>2</v>
      </c>
      <c r="D2" t="s">
        <v>4</v>
      </c>
      <c r="I2" t="s">
        <v>21</v>
      </c>
      <c r="J2" t="s">
        <v>18</v>
      </c>
      <c r="K2" t="s">
        <v>20</v>
      </c>
      <c r="L2" t="s">
        <v>18</v>
      </c>
      <c r="M2" t="s">
        <v>20</v>
      </c>
      <c r="O2" t="s">
        <v>67</v>
      </c>
      <c r="P2">
        <v>23</v>
      </c>
    </row>
    <row r="3" spans="1:16" x14ac:dyDescent="0.25">
      <c r="A3">
        <f>18-C3</f>
        <v>6</v>
      </c>
      <c r="B3">
        <f>9-C3/2</f>
        <v>3</v>
      </c>
      <c r="C3">
        <v>12</v>
      </c>
      <c r="D3">
        <f>+A3*4+B3*4</f>
        <v>36</v>
      </c>
      <c r="I3" t="s">
        <v>19</v>
      </c>
      <c r="J3" t="s">
        <v>22</v>
      </c>
      <c r="K3" t="s">
        <v>23</v>
      </c>
      <c r="L3" t="s">
        <v>40</v>
      </c>
      <c r="M3" t="s">
        <v>39</v>
      </c>
      <c r="N3" t="s">
        <v>161</v>
      </c>
      <c r="O3" t="s">
        <v>68</v>
      </c>
      <c r="P3">
        <v>0</v>
      </c>
    </row>
    <row r="4" spans="1:16" x14ac:dyDescent="0.25">
      <c r="A4">
        <f>18-C4</f>
        <v>5</v>
      </c>
      <c r="B4">
        <f>9-C4/2</f>
        <v>2.5</v>
      </c>
      <c r="C4">
        <v>13</v>
      </c>
      <c r="D4">
        <f>+A4*4+B4*4</f>
        <v>30</v>
      </c>
      <c r="I4">
        <v>0</v>
      </c>
      <c r="J4">
        <f>18*I4-POWER(I4,2)/2</f>
        <v>0</v>
      </c>
      <c r="K4">
        <f>18-I4</f>
        <v>18</v>
      </c>
      <c r="L4">
        <f>18*I4-POWER(I4,2)</f>
        <v>0</v>
      </c>
      <c r="M4">
        <f>18-2*I4</f>
        <v>18</v>
      </c>
      <c r="N4">
        <f>+$P$1*$P$2</f>
        <v>16.099999999999998</v>
      </c>
    </row>
    <row r="5" spans="1:16" x14ac:dyDescent="0.25">
      <c r="A5">
        <f>18-C5</f>
        <v>4</v>
      </c>
      <c r="B5">
        <f>9-C5/2</f>
        <v>2</v>
      </c>
      <c r="C5">
        <v>14</v>
      </c>
      <c r="D5">
        <f>+A5*4+B5*4</f>
        <v>24</v>
      </c>
      <c r="I5">
        <v>1</v>
      </c>
      <c r="J5">
        <f>18*I5-POWER(I5,2)/2</f>
        <v>17.5</v>
      </c>
      <c r="K5">
        <f t="shared" ref="K5:K24" si="0">18-I5</f>
        <v>17</v>
      </c>
      <c r="L5">
        <f t="shared" ref="L5:L24" si="1">18*I5-POWER(I5,2)</f>
        <v>17</v>
      </c>
      <c r="M5">
        <f t="shared" ref="M5:M24" si="2">18-2*I5</f>
        <v>16</v>
      </c>
      <c r="N5">
        <f t="shared" ref="N5:N24" si="3">+$P$1*$P$2</f>
        <v>16.099999999999998</v>
      </c>
    </row>
    <row r="6" spans="1:16" x14ac:dyDescent="0.25">
      <c r="I6">
        <v>2</v>
      </c>
      <c r="J6">
        <f t="shared" ref="J6:J24" si="4">18*I6-POWER(I6,2)/2</f>
        <v>34</v>
      </c>
      <c r="K6">
        <f t="shared" si="0"/>
        <v>16</v>
      </c>
      <c r="L6">
        <f t="shared" si="1"/>
        <v>32</v>
      </c>
      <c r="M6">
        <f t="shared" si="2"/>
        <v>14</v>
      </c>
      <c r="N6">
        <f t="shared" si="3"/>
        <v>16.099999999999998</v>
      </c>
    </row>
    <row r="7" spans="1:16" x14ac:dyDescent="0.25">
      <c r="I7">
        <v>3</v>
      </c>
      <c r="J7">
        <f t="shared" si="4"/>
        <v>49.5</v>
      </c>
      <c r="K7">
        <f t="shared" si="0"/>
        <v>15</v>
      </c>
      <c r="L7" s="7">
        <f t="shared" si="1"/>
        <v>45</v>
      </c>
      <c r="M7">
        <f t="shared" si="2"/>
        <v>12</v>
      </c>
      <c r="N7">
        <f t="shared" si="3"/>
        <v>16.099999999999998</v>
      </c>
    </row>
    <row r="8" spans="1:16" x14ac:dyDescent="0.25">
      <c r="A8" t="s">
        <v>6</v>
      </c>
      <c r="B8">
        <v>4</v>
      </c>
      <c r="C8">
        <v>5</v>
      </c>
      <c r="G8" t="s">
        <v>14</v>
      </c>
      <c r="I8">
        <v>4</v>
      </c>
      <c r="J8">
        <f t="shared" si="4"/>
        <v>64</v>
      </c>
      <c r="K8">
        <f t="shared" si="0"/>
        <v>14</v>
      </c>
      <c r="L8" s="7">
        <f t="shared" si="1"/>
        <v>56</v>
      </c>
      <c r="M8">
        <f t="shared" si="2"/>
        <v>10</v>
      </c>
      <c r="N8">
        <f t="shared" si="3"/>
        <v>16.099999999999998</v>
      </c>
    </row>
    <row r="9" spans="1:16" x14ac:dyDescent="0.25">
      <c r="A9" t="s">
        <v>7</v>
      </c>
      <c r="B9">
        <v>4</v>
      </c>
      <c r="C9">
        <v>5</v>
      </c>
      <c r="G9" t="s">
        <v>15</v>
      </c>
      <c r="I9">
        <v>5</v>
      </c>
      <c r="J9">
        <f t="shared" si="4"/>
        <v>77.5</v>
      </c>
      <c r="K9">
        <f t="shared" si="0"/>
        <v>13</v>
      </c>
      <c r="L9" s="7">
        <f t="shared" si="1"/>
        <v>65</v>
      </c>
      <c r="M9">
        <f t="shared" si="2"/>
        <v>8</v>
      </c>
      <c r="N9">
        <f t="shared" si="3"/>
        <v>16.099999999999998</v>
      </c>
    </row>
    <row r="10" spans="1:16" x14ac:dyDescent="0.25">
      <c r="A10" t="s">
        <v>8</v>
      </c>
      <c r="B10">
        <v>4</v>
      </c>
      <c r="C10">
        <v>5</v>
      </c>
      <c r="G10" t="s">
        <v>16</v>
      </c>
      <c r="I10">
        <v>6</v>
      </c>
      <c r="J10">
        <f t="shared" si="4"/>
        <v>90</v>
      </c>
      <c r="K10">
        <f t="shared" si="0"/>
        <v>12</v>
      </c>
      <c r="L10">
        <f t="shared" si="1"/>
        <v>72</v>
      </c>
      <c r="M10">
        <f t="shared" si="2"/>
        <v>6</v>
      </c>
      <c r="N10">
        <f t="shared" si="3"/>
        <v>16.099999999999998</v>
      </c>
    </row>
    <row r="11" spans="1:16" x14ac:dyDescent="0.25">
      <c r="A11" t="s">
        <v>9</v>
      </c>
      <c r="B11">
        <v>4</v>
      </c>
      <c r="C11">
        <v>5</v>
      </c>
      <c r="G11" t="s">
        <v>17</v>
      </c>
      <c r="I11">
        <v>7</v>
      </c>
      <c r="J11">
        <f t="shared" si="4"/>
        <v>101.5</v>
      </c>
      <c r="K11">
        <f t="shared" si="0"/>
        <v>11</v>
      </c>
      <c r="L11">
        <f t="shared" si="1"/>
        <v>77</v>
      </c>
      <c r="M11">
        <f t="shared" si="2"/>
        <v>4</v>
      </c>
      <c r="N11">
        <f t="shared" si="3"/>
        <v>16.099999999999998</v>
      </c>
    </row>
    <row r="12" spans="1:16" x14ac:dyDescent="0.25">
      <c r="A12" t="s">
        <v>10</v>
      </c>
      <c r="B12">
        <v>3</v>
      </c>
      <c r="C12">
        <v>2</v>
      </c>
      <c r="I12">
        <v>8</v>
      </c>
      <c r="J12">
        <f t="shared" si="4"/>
        <v>112</v>
      </c>
      <c r="K12">
        <f t="shared" si="0"/>
        <v>10</v>
      </c>
      <c r="L12">
        <f t="shared" si="1"/>
        <v>80</v>
      </c>
      <c r="M12">
        <f t="shared" si="2"/>
        <v>2</v>
      </c>
      <c r="N12">
        <f t="shared" si="3"/>
        <v>16.099999999999998</v>
      </c>
    </row>
    <row r="13" spans="1:16" x14ac:dyDescent="0.25">
      <c r="A13" t="s">
        <v>11</v>
      </c>
      <c r="B13">
        <v>3</v>
      </c>
      <c r="C13">
        <v>2</v>
      </c>
      <c r="I13">
        <v>9</v>
      </c>
      <c r="J13">
        <f t="shared" si="4"/>
        <v>121.5</v>
      </c>
      <c r="K13">
        <f t="shared" si="0"/>
        <v>9</v>
      </c>
      <c r="L13">
        <f t="shared" si="1"/>
        <v>81</v>
      </c>
      <c r="M13">
        <f t="shared" si="2"/>
        <v>0</v>
      </c>
      <c r="N13">
        <f t="shared" si="3"/>
        <v>16.099999999999998</v>
      </c>
    </row>
    <row r="14" spans="1:16" x14ac:dyDescent="0.25">
      <c r="A14" t="s">
        <v>12</v>
      </c>
      <c r="B14">
        <v>3</v>
      </c>
      <c r="C14">
        <v>2</v>
      </c>
      <c r="I14">
        <v>10</v>
      </c>
      <c r="J14">
        <f t="shared" si="4"/>
        <v>130</v>
      </c>
      <c r="K14">
        <f t="shared" si="0"/>
        <v>8</v>
      </c>
      <c r="L14">
        <f t="shared" si="1"/>
        <v>80</v>
      </c>
      <c r="M14">
        <f t="shared" si="2"/>
        <v>-2</v>
      </c>
      <c r="N14">
        <f t="shared" si="3"/>
        <v>16.099999999999998</v>
      </c>
    </row>
    <row r="15" spans="1:16" x14ac:dyDescent="0.25">
      <c r="A15" t="s">
        <v>13</v>
      </c>
      <c r="B15">
        <v>3</v>
      </c>
      <c r="C15">
        <v>2</v>
      </c>
      <c r="I15">
        <v>11</v>
      </c>
      <c r="J15">
        <f t="shared" si="4"/>
        <v>137.5</v>
      </c>
      <c r="K15">
        <f t="shared" si="0"/>
        <v>7</v>
      </c>
      <c r="L15">
        <f t="shared" si="1"/>
        <v>77</v>
      </c>
      <c r="M15">
        <f t="shared" si="2"/>
        <v>-4</v>
      </c>
      <c r="N15">
        <f t="shared" si="3"/>
        <v>16.099999999999998</v>
      </c>
    </row>
    <row r="16" spans="1:16" x14ac:dyDescent="0.25">
      <c r="A16" t="s">
        <v>3</v>
      </c>
      <c r="B16">
        <f>SUM(B8:B15)</f>
        <v>28</v>
      </c>
      <c r="C16">
        <f>SUM(C8:C15)</f>
        <v>28</v>
      </c>
      <c r="I16">
        <v>12</v>
      </c>
      <c r="J16">
        <f t="shared" si="4"/>
        <v>144</v>
      </c>
      <c r="K16">
        <f t="shared" si="0"/>
        <v>6</v>
      </c>
      <c r="L16">
        <f t="shared" si="1"/>
        <v>72</v>
      </c>
      <c r="M16">
        <f t="shared" si="2"/>
        <v>-6</v>
      </c>
      <c r="N16">
        <f t="shared" si="3"/>
        <v>16.099999999999998</v>
      </c>
    </row>
    <row r="17" spans="1:15" x14ac:dyDescent="0.25">
      <c r="A17" t="s">
        <v>2</v>
      </c>
      <c r="B17">
        <f>(27-B16/4)*2/3</f>
        <v>13.333333333333334</v>
      </c>
      <c r="C17">
        <f>(27-C16/4)*2/3</f>
        <v>13.333333333333334</v>
      </c>
      <c r="I17">
        <v>13</v>
      </c>
      <c r="J17">
        <f t="shared" si="4"/>
        <v>149.5</v>
      </c>
      <c r="K17">
        <f t="shared" si="0"/>
        <v>5</v>
      </c>
      <c r="L17">
        <f t="shared" si="1"/>
        <v>65</v>
      </c>
      <c r="M17">
        <f t="shared" si="2"/>
        <v>-8</v>
      </c>
      <c r="N17">
        <f t="shared" si="3"/>
        <v>16.099999999999998</v>
      </c>
    </row>
    <row r="18" spans="1:15" x14ac:dyDescent="0.25">
      <c r="I18">
        <v>14</v>
      </c>
      <c r="J18">
        <f t="shared" si="4"/>
        <v>154</v>
      </c>
      <c r="K18">
        <f t="shared" si="0"/>
        <v>4</v>
      </c>
      <c r="L18">
        <f t="shared" si="1"/>
        <v>56</v>
      </c>
      <c r="M18">
        <f t="shared" si="2"/>
        <v>-10</v>
      </c>
      <c r="N18">
        <f t="shared" si="3"/>
        <v>16.099999999999998</v>
      </c>
    </row>
    <row r="19" spans="1:15" x14ac:dyDescent="0.25">
      <c r="I19">
        <v>15</v>
      </c>
      <c r="J19">
        <f t="shared" si="4"/>
        <v>157.5</v>
      </c>
      <c r="K19">
        <f t="shared" si="0"/>
        <v>3</v>
      </c>
      <c r="L19">
        <f t="shared" si="1"/>
        <v>45</v>
      </c>
      <c r="M19">
        <f t="shared" si="2"/>
        <v>-12</v>
      </c>
      <c r="N19">
        <f t="shared" si="3"/>
        <v>16.099999999999998</v>
      </c>
    </row>
    <row r="20" spans="1:15" x14ac:dyDescent="0.25">
      <c r="D20" s="45"/>
      <c r="I20">
        <v>16</v>
      </c>
      <c r="J20">
        <f t="shared" si="4"/>
        <v>160</v>
      </c>
      <c r="K20">
        <f t="shared" si="0"/>
        <v>2</v>
      </c>
      <c r="L20">
        <f t="shared" si="1"/>
        <v>32</v>
      </c>
      <c r="M20">
        <f t="shared" si="2"/>
        <v>-14</v>
      </c>
      <c r="N20">
        <f t="shared" si="3"/>
        <v>16.099999999999998</v>
      </c>
    </row>
    <row r="21" spans="1:15" x14ac:dyDescent="0.25">
      <c r="I21">
        <v>17</v>
      </c>
      <c r="J21">
        <f t="shared" si="4"/>
        <v>161.5</v>
      </c>
      <c r="K21">
        <f t="shared" si="0"/>
        <v>1</v>
      </c>
      <c r="L21">
        <f t="shared" si="1"/>
        <v>17</v>
      </c>
      <c r="M21">
        <f t="shared" si="2"/>
        <v>-16</v>
      </c>
      <c r="N21">
        <f t="shared" si="3"/>
        <v>16.099999999999998</v>
      </c>
    </row>
    <row r="22" spans="1:15" x14ac:dyDescent="0.25">
      <c r="I22">
        <v>18</v>
      </c>
      <c r="J22">
        <f t="shared" si="4"/>
        <v>162</v>
      </c>
      <c r="K22">
        <f t="shared" si="0"/>
        <v>0</v>
      </c>
      <c r="L22">
        <f t="shared" si="1"/>
        <v>0</v>
      </c>
      <c r="M22">
        <f t="shared" si="2"/>
        <v>-18</v>
      </c>
      <c r="N22">
        <f t="shared" si="3"/>
        <v>16.099999999999998</v>
      </c>
    </row>
    <row r="23" spans="1:15" x14ac:dyDescent="0.25">
      <c r="I23">
        <v>19</v>
      </c>
      <c r="J23">
        <f t="shared" si="4"/>
        <v>161.5</v>
      </c>
      <c r="K23">
        <f t="shared" si="0"/>
        <v>-1</v>
      </c>
      <c r="L23">
        <f t="shared" si="1"/>
        <v>-19</v>
      </c>
      <c r="M23">
        <f t="shared" si="2"/>
        <v>-20</v>
      </c>
      <c r="N23">
        <f t="shared" si="3"/>
        <v>16.099999999999998</v>
      </c>
    </row>
    <row r="24" spans="1:15" x14ac:dyDescent="0.25">
      <c r="I24">
        <v>20</v>
      </c>
      <c r="J24">
        <f t="shared" si="4"/>
        <v>160</v>
      </c>
      <c r="K24">
        <f t="shared" si="0"/>
        <v>-2</v>
      </c>
      <c r="L24">
        <f t="shared" si="1"/>
        <v>-40</v>
      </c>
      <c r="M24">
        <f t="shared" si="2"/>
        <v>-22</v>
      </c>
      <c r="N24">
        <f t="shared" si="3"/>
        <v>16.099999999999998</v>
      </c>
    </row>
    <row r="26" spans="1:15" x14ac:dyDescent="0.25">
      <c r="A26" s="1" t="s">
        <v>24</v>
      </c>
    </row>
    <row r="27" spans="1:15" x14ac:dyDescent="0.25">
      <c r="A27" t="s">
        <v>26</v>
      </c>
    </row>
    <row r="28" spans="1:15" x14ac:dyDescent="0.25">
      <c r="A28" t="s">
        <v>25</v>
      </c>
      <c r="H28" s="1" t="s">
        <v>31</v>
      </c>
    </row>
    <row r="29" spans="1:15" x14ac:dyDescent="0.25">
      <c r="A29" s="33" t="s">
        <v>27</v>
      </c>
      <c r="B29" s="33" t="s">
        <v>44</v>
      </c>
      <c r="C29" s="33" t="s">
        <v>43</v>
      </c>
      <c r="D29" s="33" t="s">
        <v>28</v>
      </c>
      <c r="E29" s="33" t="s">
        <v>29</v>
      </c>
      <c r="F29" s="33" t="s">
        <v>8</v>
      </c>
      <c r="G29" s="33" t="s">
        <v>9</v>
      </c>
      <c r="H29" s="33" t="s">
        <v>30</v>
      </c>
      <c r="I29" s="33" t="s">
        <v>41</v>
      </c>
      <c r="J29" s="33" t="s">
        <v>32</v>
      </c>
      <c r="K29" s="33" t="s">
        <v>33</v>
      </c>
      <c r="L29" s="33" t="s">
        <v>34</v>
      </c>
      <c r="M29" s="33" t="s">
        <v>35</v>
      </c>
      <c r="N29" s="33" t="s">
        <v>36</v>
      </c>
      <c r="O29" s="33" t="s">
        <v>42</v>
      </c>
    </row>
    <row r="30" spans="1:15" x14ac:dyDescent="0.25">
      <c r="A30" t="e">
        <f>18-(#REF!/4)</f>
        <v>#REF!</v>
      </c>
      <c r="C30">
        <f>18-(G30+1)</f>
        <v>17</v>
      </c>
      <c r="D30" s="3">
        <v>0</v>
      </c>
      <c r="E30" s="4">
        <v>0</v>
      </c>
      <c r="F30" s="4">
        <v>0</v>
      </c>
      <c r="G30" s="4">
        <v>0</v>
      </c>
      <c r="H30">
        <f>SUM(D30:G30)</f>
        <v>0</v>
      </c>
      <c r="I30" s="33"/>
      <c r="J30" s="33"/>
      <c r="K30" s="33"/>
      <c r="L30" s="33"/>
      <c r="M30" s="33"/>
      <c r="N30" s="33"/>
    </row>
    <row r="31" spans="1:15" x14ac:dyDescent="0.25">
      <c r="A31" t="e">
        <f>18-(#REF!/4)</f>
        <v>#REF!</v>
      </c>
      <c r="C31">
        <f t="shared" ref="C31:C54" si="5">18-(G31+1)</f>
        <v>17</v>
      </c>
      <c r="D31" s="4">
        <v>1</v>
      </c>
      <c r="E31" s="3">
        <v>0</v>
      </c>
      <c r="F31" s="4">
        <v>0</v>
      </c>
      <c r="G31" s="4">
        <v>0</v>
      </c>
      <c r="H31">
        <f t="shared" ref="H31:H54" si="6">SUM(D31:G31)</f>
        <v>1</v>
      </c>
      <c r="I31" s="33"/>
      <c r="J31" s="33"/>
      <c r="K31" s="33"/>
      <c r="L31" s="33"/>
      <c r="M31" s="33"/>
      <c r="N31" s="33"/>
    </row>
    <row r="32" spans="1:15" x14ac:dyDescent="0.25">
      <c r="A32" t="e">
        <f>18-(#REF!/4)</f>
        <v>#REF!</v>
      </c>
      <c r="C32">
        <f t="shared" si="5"/>
        <v>17</v>
      </c>
      <c r="D32" s="4">
        <v>1</v>
      </c>
      <c r="E32" s="4">
        <v>1</v>
      </c>
      <c r="F32" s="3">
        <v>0</v>
      </c>
      <c r="G32" s="4">
        <v>0</v>
      </c>
      <c r="H32">
        <f t="shared" si="6"/>
        <v>2</v>
      </c>
      <c r="I32" s="33"/>
      <c r="J32" s="33"/>
      <c r="K32" s="33"/>
      <c r="L32" s="33"/>
      <c r="M32" s="33"/>
      <c r="N32" s="33"/>
    </row>
    <row r="33" spans="1:15" x14ac:dyDescent="0.25">
      <c r="A33" t="e">
        <f>18-(#REF!/4)</f>
        <v>#REF!</v>
      </c>
      <c r="C33">
        <f t="shared" si="5"/>
        <v>17</v>
      </c>
      <c r="D33" s="4">
        <v>1</v>
      </c>
      <c r="E33" s="4">
        <v>1</v>
      </c>
      <c r="F33" s="4">
        <v>1</v>
      </c>
      <c r="G33" s="3">
        <v>0</v>
      </c>
      <c r="H33">
        <f t="shared" si="6"/>
        <v>3</v>
      </c>
      <c r="I33" s="33"/>
      <c r="J33" s="33"/>
      <c r="K33" s="33"/>
      <c r="L33" s="33"/>
      <c r="M33" s="33"/>
      <c r="N33" s="33"/>
    </row>
    <row r="34" spans="1:15" x14ac:dyDescent="0.25">
      <c r="A34" t="e">
        <f>18-(#REF!/4)</f>
        <v>#REF!</v>
      </c>
      <c r="C34">
        <f t="shared" si="5"/>
        <v>16</v>
      </c>
      <c r="D34" s="4">
        <v>1</v>
      </c>
      <c r="E34" s="4">
        <v>1</v>
      </c>
      <c r="F34" s="4">
        <v>1</v>
      </c>
      <c r="G34" s="4">
        <v>1</v>
      </c>
      <c r="H34">
        <f t="shared" si="6"/>
        <v>4</v>
      </c>
      <c r="I34">
        <f>18-2*M34</f>
        <v>18</v>
      </c>
      <c r="J34" s="3">
        <v>0</v>
      </c>
      <c r="K34" s="4">
        <v>0</v>
      </c>
      <c r="L34" s="4">
        <v>0</v>
      </c>
      <c r="M34" s="4">
        <v>0</v>
      </c>
      <c r="N34">
        <f>SUM(J34:M34)</f>
        <v>0</v>
      </c>
      <c r="O34">
        <f>+N34+H34</f>
        <v>4</v>
      </c>
    </row>
    <row r="35" spans="1:15" x14ac:dyDescent="0.25">
      <c r="A35" t="e">
        <f>18-(#REF!/4)</f>
        <v>#REF!</v>
      </c>
      <c r="C35">
        <f t="shared" si="5"/>
        <v>16</v>
      </c>
      <c r="D35" s="4">
        <v>2</v>
      </c>
      <c r="E35" s="4">
        <v>1</v>
      </c>
      <c r="F35" s="4">
        <v>1</v>
      </c>
      <c r="G35" s="4">
        <v>1</v>
      </c>
      <c r="H35">
        <f t="shared" si="6"/>
        <v>5</v>
      </c>
      <c r="I35">
        <f t="shared" ref="I35:I58" si="7">18-2*M35</f>
        <v>18</v>
      </c>
      <c r="J35" s="4">
        <v>1</v>
      </c>
      <c r="K35" s="3">
        <v>0</v>
      </c>
      <c r="L35" s="4">
        <v>0</v>
      </c>
      <c r="M35" s="4">
        <v>0</v>
      </c>
      <c r="N35">
        <f t="shared" ref="N35:N58" si="8">SUM(J35:M35)</f>
        <v>1</v>
      </c>
      <c r="O35">
        <f t="shared" ref="O35:O53" si="9">+N35+H35</f>
        <v>6</v>
      </c>
    </row>
    <row r="36" spans="1:15" x14ac:dyDescent="0.25">
      <c r="A36" t="e">
        <f>18-(#REF!/4)</f>
        <v>#REF!</v>
      </c>
      <c r="C36">
        <f t="shared" si="5"/>
        <v>16</v>
      </c>
      <c r="D36" s="4">
        <v>2</v>
      </c>
      <c r="E36" s="4">
        <v>2</v>
      </c>
      <c r="F36" s="4">
        <v>1</v>
      </c>
      <c r="G36" s="4">
        <v>1</v>
      </c>
      <c r="H36">
        <f t="shared" si="6"/>
        <v>6</v>
      </c>
      <c r="I36">
        <f t="shared" si="7"/>
        <v>18</v>
      </c>
      <c r="J36" s="4">
        <v>1</v>
      </c>
      <c r="K36" s="4">
        <v>1</v>
      </c>
      <c r="L36" s="3">
        <v>0</v>
      </c>
      <c r="M36" s="4">
        <v>0</v>
      </c>
      <c r="N36">
        <f t="shared" si="8"/>
        <v>2</v>
      </c>
      <c r="O36">
        <f t="shared" si="9"/>
        <v>8</v>
      </c>
    </row>
    <row r="37" spans="1:15" x14ac:dyDescent="0.25">
      <c r="A37" t="e">
        <f>18-(#REF!/4)</f>
        <v>#REF!</v>
      </c>
      <c r="C37">
        <f t="shared" si="5"/>
        <v>16</v>
      </c>
      <c r="D37" s="4">
        <v>2</v>
      </c>
      <c r="E37" s="4">
        <v>2</v>
      </c>
      <c r="F37" s="4">
        <v>2</v>
      </c>
      <c r="G37" s="4">
        <v>1</v>
      </c>
      <c r="H37">
        <f t="shared" si="6"/>
        <v>7</v>
      </c>
      <c r="I37">
        <f t="shared" si="7"/>
        <v>18</v>
      </c>
      <c r="J37" s="4">
        <v>1</v>
      </c>
      <c r="K37" s="4">
        <v>1</v>
      </c>
      <c r="L37" s="4">
        <v>1</v>
      </c>
      <c r="M37" s="3">
        <v>0</v>
      </c>
      <c r="N37">
        <f t="shared" si="8"/>
        <v>3</v>
      </c>
      <c r="O37">
        <f t="shared" si="9"/>
        <v>10</v>
      </c>
    </row>
    <row r="38" spans="1:15" x14ac:dyDescent="0.25">
      <c r="A38" t="e">
        <f>18-(#REF!/4)</f>
        <v>#REF!</v>
      </c>
      <c r="C38">
        <f t="shared" si="5"/>
        <v>15</v>
      </c>
      <c r="D38" s="4">
        <v>2</v>
      </c>
      <c r="E38" s="4">
        <v>2</v>
      </c>
      <c r="F38" s="4">
        <v>2</v>
      </c>
      <c r="G38" s="4">
        <v>2</v>
      </c>
      <c r="H38">
        <f t="shared" si="6"/>
        <v>8</v>
      </c>
      <c r="I38">
        <f t="shared" si="7"/>
        <v>16</v>
      </c>
      <c r="J38" s="4">
        <v>1</v>
      </c>
      <c r="K38" s="4">
        <v>1</v>
      </c>
      <c r="L38" s="4">
        <v>1</v>
      </c>
      <c r="M38" s="4">
        <v>1</v>
      </c>
      <c r="N38">
        <f t="shared" si="8"/>
        <v>4</v>
      </c>
      <c r="O38">
        <f t="shared" si="9"/>
        <v>12</v>
      </c>
    </row>
    <row r="39" spans="1:15" x14ac:dyDescent="0.25">
      <c r="A39" t="e">
        <f>18-(#REF!/4)</f>
        <v>#REF!</v>
      </c>
      <c r="C39">
        <f t="shared" si="5"/>
        <v>15</v>
      </c>
      <c r="D39" s="4">
        <v>3</v>
      </c>
      <c r="E39" s="4">
        <v>2</v>
      </c>
      <c r="F39" s="4">
        <v>2</v>
      </c>
      <c r="G39" s="4">
        <v>2</v>
      </c>
      <c r="H39">
        <f t="shared" si="6"/>
        <v>9</v>
      </c>
      <c r="I39">
        <f t="shared" si="7"/>
        <v>16</v>
      </c>
      <c r="J39" s="4">
        <v>2</v>
      </c>
      <c r="K39" s="4">
        <v>1</v>
      </c>
      <c r="L39" s="4">
        <v>1</v>
      </c>
      <c r="M39" s="4">
        <v>1</v>
      </c>
      <c r="N39">
        <f t="shared" si="8"/>
        <v>5</v>
      </c>
      <c r="O39">
        <f t="shared" si="9"/>
        <v>14</v>
      </c>
    </row>
    <row r="40" spans="1:15" x14ac:dyDescent="0.25">
      <c r="A40" t="e">
        <f>18-(#REF!/4)</f>
        <v>#REF!</v>
      </c>
      <c r="C40">
        <f t="shared" si="5"/>
        <v>15</v>
      </c>
      <c r="D40" s="4">
        <v>3</v>
      </c>
      <c r="E40" s="4">
        <v>3</v>
      </c>
      <c r="F40" s="4">
        <v>2</v>
      </c>
      <c r="G40" s="4">
        <v>2</v>
      </c>
      <c r="H40">
        <f t="shared" si="6"/>
        <v>10</v>
      </c>
      <c r="I40">
        <f t="shared" si="7"/>
        <v>16</v>
      </c>
      <c r="J40" s="4">
        <v>2</v>
      </c>
      <c r="K40" s="4">
        <v>2</v>
      </c>
      <c r="L40" s="4">
        <v>1</v>
      </c>
      <c r="M40" s="4">
        <v>1</v>
      </c>
      <c r="N40">
        <f t="shared" si="8"/>
        <v>6</v>
      </c>
      <c r="O40">
        <f t="shared" si="9"/>
        <v>16</v>
      </c>
    </row>
    <row r="41" spans="1:15" x14ac:dyDescent="0.25">
      <c r="A41" t="e">
        <f>18-(#REF!/4)</f>
        <v>#REF!</v>
      </c>
      <c r="C41">
        <f t="shared" si="5"/>
        <v>15</v>
      </c>
      <c r="D41" s="4">
        <v>3</v>
      </c>
      <c r="E41" s="4">
        <v>3</v>
      </c>
      <c r="F41" s="4">
        <v>3</v>
      </c>
      <c r="G41" s="4">
        <v>2</v>
      </c>
      <c r="H41">
        <f t="shared" si="6"/>
        <v>11</v>
      </c>
      <c r="I41">
        <f t="shared" si="7"/>
        <v>16</v>
      </c>
      <c r="J41" s="4">
        <v>2</v>
      </c>
      <c r="K41" s="4">
        <v>2</v>
      </c>
      <c r="L41" s="4">
        <v>2</v>
      </c>
      <c r="M41" s="4">
        <v>1</v>
      </c>
      <c r="N41">
        <f t="shared" si="8"/>
        <v>7</v>
      </c>
      <c r="O41">
        <f t="shared" si="9"/>
        <v>18</v>
      </c>
    </row>
    <row r="42" spans="1:15" x14ac:dyDescent="0.25">
      <c r="A42" t="e">
        <f>18-(#REF!/4)</f>
        <v>#REF!</v>
      </c>
      <c r="C42">
        <f t="shared" si="5"/>
        <v>14</v>
      </c>
      <c r="D42" s="6">
        <v>3</v>
      </c>
      <c r="E42" s="6">
        <v>3</v>
      </c>
      <c r="F42" s="6">
        <v>3</v>
      </c>
      <c r="G42" s="6">
        <v>3</v>
      </c>
      <c r="H42" s="5">
        <f t="shared" si="6"/>
        <v>12</v>
      </c>
      <c r="I42">
        <f t="shared" si="7"/>
        <v>14</v>
      </c>
      <c r="J42" s="4">
        <v>2</v>
      </c>
      <c r="K42" s="4">
        <v>2</v>
      </c>
      <c r="L42" s="4">
        <v>2</v>
      </c>
      <c r="M42" s="4">
        <v>2</v>
      </c>
      <c r="N42">
        <f t="shared" si="8"/>
        <v>8</v>
      </c>
      <c r="O42">
        <f t="shared" si="9"/>
        <v>20</v>
      </c>
    </row>
    <row r="43" spans="1:15" x14ac:dyDescent="0.25">
      <c r="A43" t="e">
        <f>18-(#REF!/4)</f>
        <v>#REF!</v>
      </c>
      <c r="C43">
        <f t="shared" si="5"/>
        <v>14</v>
      </c>
      <c r="D43" s="4">
        <v>4</v>
      </c>
      <c r="E43" s="4">
        <v>3</v>
      </c>
      <c r="F43" s="4">
        <v>3</v>
      </c>
      <c r="G43" s="4">
        <v>3</v>
      </c>
      <c r="H43">
        <f t="shared" si="6"/>
        <v>13</v>
      </c>
      <c r="I43">
        <f t="shared" si="7"/>
        <v>14</v>
      </c>
      <c r="J43" s="4">
        <v>3</v>
      </c>
      <c r="K43" s="4">
        <v>2</v>
      </c>
      <c r="L43" s="4">
        <v>2</v>
      </c>
      <c r="M43" s="4">
        <v>2</v>
      </c>
      <c r="N43">
        <f t="shared" si="8"/>
        <v>9</v>
      </c>
      <c r="O43">
        <f t="shared" si="9"/>
        <v>22</v>
      </c>
    </row>
    <row r="44" spans="1:15" x14ac:dyDescent="0.25">
      <c r="A44" t="e">
        <f>18-(#REF!/4)</f>
        <v>#REF!</v>
      </c>
      <c r="C44">
        <f t="shared" si="5"/>
        <v>14</v>
      </c>
      <c r="D44" s="4">
        <v>4</v>
      </c>
      <c r="E44" s="4">
        <v>4</v>
      </c>
      <c r="F44" s="4">
        <v>3</v>
      </c>
      <c r="G44" s="4">
        <v>3</v>
      </c>
      <c r="H44">
        <f t="shared" si="6"/>
        <v>14</v>
      </c>
      <c r="I44">
        <f t="shared" si="7"/>
        <v>14</v>
      </c>
      <c r="J44" s="4">
        <v>3</v>
      </c>
      <c r="K44" s="4">
        <v>3</v>
      </c>
      <c r="L44" s="4">
        <v>2</v>
      </c>
      <c r="M44" s="4">
        <v>2</v>
      </c>
      <c r="N44">
        <f t="shared" si="8"/>
        <v>10</v>
      </c>
      <c r="O44">
        <f t="shared" si="9"/>
        <v>24</v>
      </c>
    </row>
    <row r="45" spans="1:15" x14ac:dyDescent="0.25">
      <c r="A45" t="e">
        <f>18-(#REF!/4)</f>
        <v>#REF!</v>
      </c>
      <c r="C45">
        <f t="shared" si="5"/>
        <v>14</v>
      </c>
      <c r="D45" s="4">
        <v>4</v>
      </c>
      <c r="E45" s="4">
        <v>4</v>
      </c>
      <c r="F45" s="4">
        <v>4</v>
      </c>
      <c r="G45" s="4">
        <v>3</v>
      </c>
      <c r="H45">
        <f t="shared" si="6"/>
        <v>15</v>
      </c>
      <c r="I45">
        <f t="shared" si="7"/>
        <v>14</v>
      </c>
      <c r="J45" s="4">
        <v>3</v>
      </c>
      <c r="K45" s="4">
        <v>3</v>
      </c>
      <c r="L45" s="4">
        <v>3</v>
      </c>
      <c r="M45" s="4">
        <v>2</v>
      </c>
      <c r="N45">
        <f t="shared" si="8"/>
        <v>11</v>
      </c>
      <c r="O45">
        <f t="shared" si="9"/>
        <v>26</v>
      </c>
    </row>
    <row r="46" spans="1:15" x14ac:dyDescent="0.25">
      <c r="A46" t="e">
        <f>18-(#REF!/4)</f>
        <v>#REF!</v>
      </c>
      <c r="C46" s="9">
        <f t="shared" si="5"/>
        <v>13</v>
      </c>
      <c r="D46" s="10">
        <v>4</v>
      </c>
      <c r="E46" s="10">
        <v>4</v>
      </c>
      <c r="F46" s="10">
        <v>4</v>
      </c>
      <c r="G46" s="10">
        <v>4</v>
      </c>
      <c r="H46" s="11">
        <f t="shared" si="6"/>
        <v>16</v>
      </c>
      <c r="I46" s="8">
        <f t="shared" si="7"/>
        <v>12</v>
      </c>
      <c r="J46" s="12">
        <v>3</v>
      </c>
      <c r="K46" s="12">
        <v>3</v>
      </c>
      <c r="L46" s="12">
        <v>3</v>
      </c>
      <c r="M46" s="12">
        <v>3</v>
      </c>
      <c r="N46" s="13">
        <f t="shared" si="8"/>
        <v>12</v>
      </c>
      <c r="O46" s="8">
        <f t="shared" si="9"/>
        <v>28</v>
      </c>
    </row>
    <row r="47" spans="1:15" x14ac:dyDescent="0.25">
      <c r="A47" t="e">
        <f>18-(#REF!/4)</f>
        <v>#REF!</v>
      </c>
      <c r="C47" s="1">
        <f t="shared" si="5"/>
        <v>13</v>
      </c>
      <c r="D47" s="4">
        <v>5</v>
      </c>
      <c r="E47" s="4">
        <v>4</v>
      </c>
      <c r="F47" s="4">
        <v>4</v>
      </c>
      <c r="G47" s="4">
        <v>4</v>
      </c>
      <c r="H47">
        <f t="shared" si="6"/>
        <v>17</v>
      </c>
      <c r="I47">
        <f t="shared" si="7"/>
        <v>12</v>
      </c>
      <c r="J47" s="4">
        <v>4</v>
      </c>
      <c r="K47" s="4">
        <v>3</v>
      </c>
      <c r="L47" s="4">
        <v>3</v>
      </c>
      <c r="M47" s="4">
        <v>3</v>
      </c>
      <c r="N47">
        <f t="shared" si="8"/>
        <v>13</v>
      </c>
      <c r="O47">
        <f t="shared" si="9"/>
        <v>30</v>
      </c>
    </row>
    <row r="48" spans="1:15" x14ac:dyDescent="0.25">
      <c r="A48" t="e">
        <f>18-(#REF!/4)</f>
        <v>#REF!</v>
      </c>
      <c r="C48" s="1">
        <f t="shared" si="5"/>
        <v>13</v>
      </c>
      <c r="D48" s="4">
        <v>5</v>
      </c>
      <c r="E48" s="4">
        <v>5</v>
      </c>
      <c r="F48" s="4">
        <v>4</v>
      </c>
      <c r="G48" s="4">
        <v>4</v>
      </c>
      <c r="H48">
        <f t="shared" si="6"/>
        <v>18</v>
      </c>
      <c r="I48">
        <f t="shared" si="7"/>
        <v>12</v>
      </c>
      <c r="J48" s="4">
        <v>4</v>
      </c>
      <c r="K48" s="4">
        <v>4</v>
      </c>
      <c r="L48" s="4">
        <v>3</v>
      </c>
      <c r="M48" s="4">
        <v>3</v>
      </c>
      <c r="N48">
        <f t="shared" si="8"/>
        <v>14</v>
      </c>
      <c r="O48">
        <f t="shared" si="9"/>
        <v>32</v>
      </c>
    </row>
    <row r="49" spans="1:15" x14ac:dyDescent="0.25">
      <c r="A49" t="e">
        <f>18-(#REF!/4)</f>
        <v>#REF!</v>
      </c>
      <c r="C49" s="1">
        <f t="shared" si="5"/>
        <v>13</v>
      </c>
      <c r="D49" s="4">
        <v>5</v>
      </c>
      <c r="E49" s="4">
        <v>5</v>
      </c>
      <c r="F49" s="4">
        <v>5</v>
      </c>
      <c r="G49" s="4">
        <v>4</v>
      </c>
      <c r="H49">
        <f t="shared" si="6"/>
        <v>19</v>
      </c>
      <c r="I49">
        <f t="shared" si="7"/>
        <v>12</v>
      </c>
      <c r="J49" s="4">
        <v>4</v>
      </c>
      <c r="K49" s="4">
        <v>4</v>
      </c>
      <c r="L49" s="4">
        <v>4</v>
      </c>
      <c r="M49" s="4">
        <v>3</v>
      </c>
      <c r="N49">
        <f t="shared" si="8"/>
        <v>15</v>
      </c>
      <c r="O49">
        <f t="shared" si="9"/>
        <v>34</v>
      </c>
    </row>
    <row r="50" spans="1:15" x14ac:dyDescent="0.25">
      <c r="A50" s="1" t="e">
        <f>18-(#REF!/4)</f>
        <v>#REF!</v>
      </c>
      <c r="B50" s="1"/>
      <c r="C50">
        <f t="shared" si="5"/>
        <v>12</v>
      </c>
      <c r="D50" s="4">
        <v>5</v>
      </c>
      <c r="E50" s="4">
        <v>5</v>
      </c>
      <c r="F50" s="4">
        <v>5</v>
      </c>
      <c r="G50" s="4">
        <v>5</v>
      </c>
      <c r="H50">
        <f t="shared" si="6"/>
        <v>20</v>
      </c>
      <c r="I50" s="5">
        <f t="shared" si="7"/>
        <v>10</v>
      </c>
      <c r="J50" s="6">
        <v>4</v>
      </c>
      <c r="K50" s="6">
        <v>4</v>
      </c>
      <c r="L50" s="6">
        <v>4</v>
      </c>
      <c r="M50" s="6">
        <v>4</v>
      </c>
      <c r="N50" s="5">
        <f t="shared" si="8"/>
        <v>16</v>
      </c>
      <c r="O50">
        <f t="shared" si="9"/>
        <v>36</v>
      </c>
    </row>
    <row r="51" spans="1:15" x14ac:dyDescent="0.25">
      <c r="A51" t="e">
        <f>18-(#REF!/4)</f>
        <v>#REF!</v>
      </c>
      <c r="C51">
        <f t="shared" si="5"/>
        <v>12</v>
      </c>
      <c r="D51" s="4">
        <v>6</v>
      </c>
      <c r="E51" s="4">
        <v>5</v>
      </c>
      <c r="F51" s="4">
        <v>5</v>
      </c>
      <c r="G51" s="4">
        <v>5</v>
      </c>
      <c r="H51">
        <f t="shared" si="6"/>
        <v>21</v>
      </c>
      <c r="I51">
        <f t="shared" si="7"/>
        <v>10</v>
      </c>
      <c r="J51" s="4">
        <v>5</v>
      </c>
      <c r="K51" s="4">
        <v>4</v>
      </c>
      <c r="L51" s="4">
        <v>4</v>
      </c>
      <c r="M51" s="4">
        <v>4</v>
      </c>
      <c r="N51">
        <f t="shared" si="8"/>
        <v>17</v>
      </c>
      <c r="O51">
        <f t="shared" si="9"/>
        <v>38</v>
      </c>
    </row>
    <row r="52" spans="1:15" x14ac:dyDescent="0.25">
      <c r="A52" t="e">
        <f>18-(#REF!/4)</f>
        <v>#REF!</v>
      </c>
      <c r="C52">
        <f t="shared" si="5"/>
        <v>12</v>
      </c>
      <c r="D52" s="4">
        <v>6</v>
      </c>
      <c r="E52" s="4">
        <v>6</v>
      </c>
      <c r="F52" s="4">
        <v>5</v>
      </c>
      <c r="G52" s="4">
        <v>5</v>
      </c>
      <c r="H52">
        <f t="shared" si="6"/>
        <v>22</v>
      </c>
      <c r="I52">
        <f t="shared" si="7"/>
        <v>10</v>
      </c>
      <c r="J52" s="4">
        <v>5</v>
      </c>
      <c r="K52" s="4">
        <v>5</v>
      </c>
      <c r="L52" s="4">
        <v>4</v>
      </c>
      <c r="M52" s="4">
        <v>4</v>
      </c>
      <c r="N52">
        <f t="shared" si="8"/>
        <v>18</v>
      </c>
      <c r="O52">
        <f t="shared" si="9"/>
        <v>40</v>
      </c>
    </row>
    <row r="53" spans="1:15" x14ac:dyDescent="0.25">
      <c r="A53" t="e">
        <f>18-(#REF!/4)</f>
        <v>#REF!</v>
      </c>
      <c r="C53">
        <f t="shared" si="5"/>
        <v>12</v>
      </c>
      <c r="D53" s="4">
        <v>6</v>
      </c>
      <c r="E53" s="4">
        <v>6</v>
      </c>
      <c r="F53" s="4">
        <v>6</v>
      </c>
      <c r="G53" s="4">
        <v>5</v>
      </c>
      <c r="H53">
        <f t="shared" si="6"/>
        <v>23</v>
      </c>
      <c r="I53">
        <f t="shared" si="7"/>
        <v>10</v>
      </c>
      <c r="J53" s="4">
        <v>5</v>
      </c>
      <c r="K53" s="4">
        <v>5</v>
      </c>
      <c r="L53" s="4">
        <v>5</v>
      </c>
      <c r="M53" s="4">
        <v>4</v>
      </c>
      <c r="N53">
        <f t="shared" si="8"/>
        <v>19</v>
      </c>
      <c r="O53">
        <f t="shared" si="9"/>
        <v>42</v>
      </c>
    </row>
    <row r="54" spans="1:15" x14ac:dyDescent="0.25">
      <c r="A54" s="1" t="e">
        <f>18-(#REF!/4)</f>
        <v>#REF!</v>
      </c>
      <c r="B54" s="1"/>
      <c r="C54">
        <f t="shared" si="5"/>
        <v>11</v>
      </c>
      <c r="D54" s="4">
        <v>6</v>
      </c>
      <c r="E54" s="4">
        <v>6</v>
      </c>
      <c r="F54" s="4">
        <v>6</v>
      </c>
      <c r="G54" s="4">
        <v>6</v>
      </c>
      <c r="H54">
        <f t="shared" si="6"/>
        <v>24</v>
      </c>
      <c r="I54">
        <f t="shared" si="7"/>
        <v>8</v>
      </c>
      <c r="J54" s="4">
        <v>5</v>
      </c>
      <c r="K54" s="4">
        <v>5</v>
      </c>
      <c r="L54" s="4">
        <v>5</v>
      </c>
      <c r="M54" s="4">
        <v>5</v>
      </c>
      <c r="N54">
        <f t="shared" si="8"/>
        <v>20</v>
      </c>
    </row>
    <row r="55" spans="1:15" x14ac:dyDescent="0.25">
      <c r="A55" t="e">
        <f>18-(#REF!/4)</f>
        <v>#REF!</v>
      </c>
      <c r="I55">
        <f t="shared" si="7"/>
        <v>8</v>
      </c>
      <c r="J55" s="4">
        <v>6</v>
      </c>
      <c r="K55" s="4">
        <v>5</v>
      </c>
      <c r="L55" s="4">
        <v>5</v>
      </c>
      <c r="M55" s="4">
        <v>5</v>
      </c>
      <c r="N55">
        <f t="shared" si="8"/>
        <v>21</v>
      </c>
    </row>
    <row r="56" spans="1:15" x14ac:dyDescent="0.25">
      <c r="A56" t="e">
        <f>18-(#REF!/4)</f>
        <v>#REF!</v>
      </c>
      <c r="I56">
        <f t="shared" si="7"/>
        <v>8</v>
      </c>
      <c r="J56" s="4">
        <v>6</v>
      </c>
      <c r="K56" s="4">
        <v>6</v>
      </c>
      <c r="L56" s="4">
        <v>5</v>
      </c>
      <c r="M56" s="4">
        <v>5</v>
      </c>
      <c r="N56">
        <f t="shared" si="8"/>
        <v>22</v>
      </c>
    </row>
    <row r="57" spans="1:15" x14ac:dyDescent="0.25">
      <c r="A57" t="e">
        <f>18-(#REF!/4)</f>
        <v>#REF!</v>
      </c>
      <c r="I57">
        <f t="shared" si="7"/>
        <v>8</v>
      </c>
      <c r="J57" s="4">
        <v>6</v>
      </c>
      <c r="K57" s="4">
        <v>6</v>
      </c>
      <c r="L57" s="4">
        <v>6</v>
      </c>
      <c r="M57" s="4">
        <v>5</v>
      </c>
      <c r="N57">
        <f t="shared" si="8"/>
        <v>23</v>
      </c>
    </row>
    <row r="58" spans="1:15" x14ac:dyDescent="0.25">
      <c r="A58" t="e">
        <f>18-(#REF!/4)</f>
        <v>#REF!</v>
      </c>
      <c r="I58">
        <f t="shared" si="7"/>
        <v>6</v>
      </c>
      <c r="J58" s="4">
        <v>6</v>
      </c>
      <c r="K58" s="4">
        <v>6</v>
      </c>
      <c r="L58" s="4">
        <v>6</v>
      </c>
      <c r="M58" s="4">
        <v>6</v>
      </c>
      <c r="N58">
        <f t="shared" si="8"/>
        <v>24</v>
      </c>
    </row>
    <row r="59" spans="1:15" x14ac:dyDescent="0.25">
      <c r="A59" t="e">
        <f>18-(#REF!/4)</f>
        <v>#REF!</v>
      </c>
    </row>
    <row r="60" spans="1:15" x14ac:dyDescent="0.25">
      <c r="A60" t="e">
        <f>18-(#REF!/4)</f>
        <v>#REF!</v>
      </c>
    </row>
    <row r="61" spans="1:15" x14ac:dyDescent="0.25">
      <c r="A61" t="e">
        <f>18-(#REF!/4)</f>
        <v>#REF!</v>
      </c>
    </row>
    <row r="62" spans="1:15" x14ac:dyDescent="0.25">
      <c r="A62" t="e">
        <f>18-(#REF!/4)</f>
        <v>#REF!</v>
      </c>
    </row>
    <row r="63" spans="1:15" x14ac:dyDescent="0.25">
      <c r="A63" t="e">
        <f>18-(#REF!/4)</f>
        <v>#REF!</v>
      </c>
    </row>
    <row r="64" spans="1:15" x14ac:dyDescent="0.25">
      <c r="A64" t="e">
        <f>18-(#REF!/4)</f>
        <v>#REF!</v>
      </c>
    </row>
    <row r="65" spans="1:1" x14ac:dyDescent="0.25">
      <c r="A65" t="e">
        <f>18-(#REF!/4)</f>
        <v>#REF!</v>
      </c>
    </row>
    <row r="66" spans="1:1" x14ac:dyDescent="0.25">
      <c r="A66" t="e">
        <f>18-(#REF!/4)</f>
        <v>#REF!</v>
      </c>
    </row>
    <row r="67" spans="1:1" x14ac:dyDescent="0.25">
      <c r="A67" t="e">
        <f>18-(#REF!/4)</f>
        <v>#REF!</v>
      </c>
    </row>
    <row r="68" spans="1:1" x14ac:dyDescent="0.25">
      <c r="A68" t="e">
        <f>18-(#REF!/4)</f>
        <v>#REF!</v>
      </c>
    </row>
    <row r="69" spans="1:1" x14ac:dyDescent="0.25">
      <c r="A69" t="e">
        <f>18-(#REF!/4)</f>
        <v>#REF!</v>
      </c>
    </row>
    <row r="70" spans="1:1" x14ac:dyDescent="0.25">
      <c r="A70" t="e">
        <f>18-(#REF!/4)</f>
        <v>#REF!</v>
      </c>
    </row>
    <row r="71" spans="1:1" x14ac:dyDescent="0.25">
      <c r="A71" t="e">
        <f>18-(#REF!/4)</f>
        <v>#REF!</v>
      </c>
    </row>
    <row r="72" spans="1:1" x14ac:dyDescent="0.25">
      <c r="A72" t="e">
        <f>18-(#REF!/4)</f>
        <v>#REF!</v>
      </c>
    </row>
    <row r="73" spans="1:1" x14ac:dyDescent="0.25">
      <c r="A73" t="e">
        <f>18-(#REF!/4)</f>
        <v>#REF!</v>
      </c>
    </row>
    <row r="74" spans="1:1" x14ac:dyDescent="0.25">
      <c r="A74" t="e">
        <f>18-(#REF!/4)</f>
        <v>#REF!</v>
      </c>
    </row>
    <row r="75" spans="1:1" x14ac:dyDescent="0.25">
      <c r="A75" t="e">
        <f>18-(#REF!/4)</f>
        <v>#REF!</v>
      </c>
    </row>
    <row r="76" spans="1:1" x14ac:dyDescent="0.25">
      <c r="A76" t="e">
        <f>18-(#REF!/4)</f>
        <v>#REF!</v>
      </c>
    </row>
    <row r="77" spans="1:1" x14ac:dyDescent="0.25">
      <c r="A77" t="e">
        <f>18-(#REF!/4)</f>
        <v>#REF!</v>
      </c>
    </row>
    <row r="78" spans="1:1" x14ac:dyDescent="0.25">
      <c r="A78" t="e">
        <f>18-(#REF!/4)</f>
        <v>#REF!</v>
      </c>
    </row>
    <row r="79" spans="1:1" x14ac:dyDescent="0.25">
      <c r="A79" t="e">
        <f>18-(#REF!/4)</f>
        <v>#REF!</v>
      </c>
    </row>
    <row r="80" spans="1:1" x14ac:dyDescent="0.25">
      <c r="A80" t="e">
        <f>18-(#REF!/4)</f>
        <v>#REF!</v>
      </c>
    </row>
    <row r="81" spans="1:1" x14ac:dyDescent="0.25">
      <c r="A81" t="e">
        <f>18-(#REF!/4)</f>
        <v>#REF!</v>
      </c>
    </row>
    <row r="82" spans="1:1" x14ac:dyDescent="0.25">
      <c r="A82" t="e">
        <f>18-(#REF!/4)</f>
        <v>#REF!</v>
      </c>
    </row>
    <row r="83" spans="1:1" x14ac:dyDescent="0.25">
      <c r="A83" t="e">
        <f>18-(#REF!/4)</f>
        <v>#REF!</v>
      </c>
    </row>
    <row r="84" spans="1:1" x14ac:dyDescent="0.25">
      <c r="A84" t="e">
        <f>18-(#REF!/4)</f>
        <v>#REF!</v>
      </c>
    </row>
    <row r="85" spans="1:1" x14ac:dyDescent="0.25">
      <c r="A85" t="e">
        <f>18-(#REF!/4)</f>
        <v>#REF!</v>
      </c>
    </row>
    <row r="86" spans="1:1" x14ac:dyDescent="0.25">
      <c r="A86" t="e">
        <f>18-(#REF!/4)</f>
        <v>#REF!</v>
      </c>
    </row>
    <row r="87" spans="1:1" x14ac:dyDescent="0.25">
      <c r="A87" t="e">
        <f>18-(#REF!/4)</f>
        <v>#REF!</v>
      </c>
    </row>
    <row r="88" spans="1:1" x14ac:dyDescent="0.25">
      <c r="A88" t="e">
        <f>18-(#REF!/4)</f>
        <v>#REF!</v>
      </c>
    </row>
    <row r="89" spans="1:1" x14ac:dyDescent="0.25">
      <c r="A89" t="e">
        <f>18-(#REF!/4)</f>
        <v>#REF!</v>
      </c>
    </row>
    <row r="90" spans="1:1" x14ac:dyDescent="0.25">
      <c r="A90" t="e">
        <f>18-(#REF!/4)</f>
        <v>#REF!</v>
      </c>
    </row>
    <row r="91" spans="1:1" x14ac:dyDescent="0.25">
      <c r="A91" t="e">
        <f>18-(#REF!/4)</f>
        <v>#REF!</v>
      </c>
    </row>
    <row r="92" spans="1:1" x14ac:dyDescent="0.25">
      <c r="A92" t="e">
        <f>18-(#REF!/4)</f>
        <v>#REF!</v>
      </c>
    </row>
    <row r="93" spans="1:1" x14ac:dyDescent="0.25">
      <c r="A93" t="e">
        <f>18-(#REF!/4)</f>
        <v>#REF!</v>
      </c>
    </row>
    <row r="94" spans="1:1" x14ac:dyDescent="0.25">
      <c r="A94" t="e">
        <f>18-(#REF!/4)</f>
        <v>#REF!</v>
      </c>
    </row>
    <row r="95" spans="1:1" x14ac:dyDescent="0.25">
      <c r="A95" t="e">
        <f>18-(#REF!/4)</f>
        <v>#REF!</v>
      </c>
    </row>
    <row r="96" spans="1:1" x14ac:dyDescent="0.25">
      <c r="A96" t="e">
        <f>18-(#REF!/4)</f>
        <v>#REF!</v>
      </c>
    </row>
    <row r="97" spans="1:1" x14ac:dyDescent="0.25">
      <c r="A97" t="e">
        <f>18-(#REF!/4)</f>
        <v>#REF!</v>
      </c>
    </row>
    <row r="98" spans="1:1" x14ac:dyDescent="0.25">
      <c r="A98" t="e">
        <f>18-(#REF!/4)</f>
        <v>#REF!</v>
      </c>
    </row>
    <row r="99" spans="1:1" x14ac:dyDescent="0.25">
      <c r="A99" t="e">
        <f>18-(#REF!/4)</f>
        <v>#REF!</v>
      </c>
    </row>
    <row r="100" spans="1:1" x14ac:dyDescent="0.25">
      <c r="A100" t="e">
        <f>18-(#REF!/4)</f>
        <v>#REF!</v>
      </c>
    </row>
    <row r="101" spans="1:1" x14ac:dyDescent="0.25">
      <c r="A101" t="e">
        <f>18-(#REF!/4)</f>
        <v>#REF!</v>
      </c>
    </row>
    <row r="102" spans="1:1" x14ac:dyDescent="0.25">
      <c r="A102" t="e">
        <f>18-(#REF!/4)</f>
        <v>#REF!</v>
      </c>
    </row>
  </sheetData>
  <mergeCells count="1">
    <mergeCell ref="J1:K1"/>
  </mergeCell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0"/>
  <sheetViews>
    <sheetView topLeftCell="A75" zoomScale="75" zoomScaleNormal="75" workbookViewId="0">
      <selection activeCell="D92" sqref="D92"/>
    </sheetView>
  </sheetViews>
  <sheetFormatPr baseColWidth="10" defaultRowHeight="15" x14ac:dyDescent="0.25"/>
  <cols>
    <col min="2" max="3" width="6.28515625" customWidth="1"/>
    <col min="4" max="4" width="11.140625" customWidth="1"/>
    <col min="5" max="5" width="7.85546875" customWidth="1"/>
    <col min="6" max="6" width="7.42578125" customWidth="1"/>
    <col min="7" max="7" width="10.85546875" customWidth="1"/>
    <col min="8" max="8" width="7.5703125" customWidth="1"/>
    <col min="9" max="9" width="11.28515625" customWidth="1"/>
    <col min="10" max="10" width="3.42578125" bestFit="1" customWidth="1"/>
    <col min="11" max="11" width="11.85546875" customWidth="1"/>
    <col min="12" max="12" width="11.5703125" customWidth="1"/>
    <col min="13" max="13" width="9" customWidth="1"/>
    <col min="14" max="15" width="2.42578125" bestFit="1" customWidth="1"/>
    <col min="16" max="16" width="3.5703125" bestFit="1" customWidth="1"/>
    <col min="17" max="17" width="5.85546875" bestFit="1" customWidth="1"/>
    <col min="18" max="18" width="14.85546875" customWidth="1"/>
    <col min="19" max="19" width="6" bestFit="1" customWidth="1"/>
    <col min="20" max="20" width="14.42578125" customWidth="1"/>
    <col min="22" max="22" width="11.5703125" bestFit="1" customWidth="1"/>
    <col min="23" max="23" width="9.28515625" customWidth="1"/>
    <col min="24" max="24" width="7.7109375" customWidth="1"/>
    <col min="25" max="25" width="7.5703125" customWidth="1"/>
    <col min="26" max="26" width="3.5703125" bestFit="1" customWidth="1"/>
    <col min="27" max="27" width="3.140625" bestFit="1" customWidth="1"/>
    <col min="28" max="29" width="11.5703125" bestFit="1" customWidth="1"/>
    <col min="31" max="31" width="11.85546875" bestFit="1" customWidth="1"/>
  </cols>
  <sheetData>
    <row r="1" spans="1:19" x14ac:dyDescent="0.25">
      <c r="A1" t="s">
        <v>91</v>
      </c>
    </row>
    <row r="3" spans="1:19" x14ac:dyDescent="0.25">
      <c r="A3" s="1" t="s">
        <v>45</v>
      </c>
      <c r="B3" s="1"/>
      <c r="C3" s="1"/>
      <c r="D3" s="1"/>
      <c r="E3" s="1"/>
      <c r="F3" s="1" t="s">
        <v>49</v>
      </c>
      <c r="G3" s="1"/>
    </row>
    <row r="4" spans="1:19" x14ac:dyDescent="0.25">
      <c r="A4" s="1" t="s">
        <v>50</v>
      </c>
      <c r="B4" s="1"/>
      <c r="C4" s="1" t="s">
        <v>51</v>
      </c>
      <c r="D4" s="1"/>
      <c r="E4" s="1"/>
      <c r="F4" s="1"/>
      <c r="G4" s="1"/>
    </row>
    <row r="5" spans="1:19" x14ac:dyDescent="0.25">
      <c r="A5" s="1" t="s">
        <v>252</v>
      </c>
    </row>
    <row r="6" spans="1:19" x14ac:dyDescent="0.25">
      <c r="A6" s="8" t="s">
        <v>46</v>
      </c>
    </row>
    <row r="7" spans="1:19" x14ac:dyDescent="0.25">
      <c r="A7" s="8" t="s">
        <v>47</v>
      </c>
      <c r="D7" t="s">
        <v>248</v>
      </c>
      <c r="E7">
        <f>1/2.9</f>
        <v>0.34482758620689657</v>
      </c>
      <c r="F7" t="s">
        <v>249</v>
      </c>
      <c r="H7">
        <f>+E7*2</f>
        <v>0.68965517241379315</v>
      </c>
    </row>
    <row r="8" spans="1:19" x14ac:dyDescent="0.25">
      <c r="A8" s="8" t="s">
        <v>48</v>
      </c>
      <c r="F8" t="s">
        <v>250</v>
      </c>
      <c r="H8">
        <f>+E7/0.35</f>
        <v>0.98522167487684742</v>
      </c>
      <c r="Q8">
        <f>9+H7</f>
        <v>9.6896551724137936</v>
      </c>
      <c r="R8" s="16">
        <f>18+2/2.9</f>
        <v>18.689655172413794</v>
      </c>
      <c r="S8">
        <f>+R8-(R9+1)*6</f>
        <v>6.7783251231527082</v>
      </c>
    </row>
    <row r="9" spans="1:19" x14ac:dyDescent="0.25">
      <c r="Q9">
        <f>+H8+0.5</f>
        <v>1.4852216748768474</v>
      </c>
      <c r="R9" s="16">
        <f>1/(2.9*0.35)</f>
        <v>0.98522167487684742</v>
      </c>
    </row>
    <row r="10" spans="1:19" x14ac:dyDescent="0.25">
      <c r="A10" s="1" t="s">
        <v>59</v>
      </c>
      <c r="B10" s="1"/>
      <c r="C10" s="1" t="s">
        <v>60</v>
      </c>
      <c r="D10" s="1"/>
      <c r="E10" s="1" t="s">
        <v>61</v>
      </c>
      <c r="F10" s="1"/>
      <c r="G10" s="1"/>
      <c r="H10" s="1"/>
    </row>
    <row r="11" spans="1:19" x14ac:dyDescent="0.25">
      <c r="A11" s="1" t="s">
        <v>89</v>
      </c>
      <c r="B11" s="1"/>
      <c r="C11" s="1"/>
      <c r="D11" s="1"/>
      <c r="E11" s="1" t="s">
        <v>90</v>
      </c>
      <c r="F11" s="1"/>
      <c r="G11" s="1"/>
      <c r="H11" s="1"/>
    </row>
    <row r="13" spans="1:19" s="44" customFormat="1" x14ac:dyDescent="0.25">
      <c r="A13" s="44" t="s">
        <v>113</v>
      </c>
    </row>
    <row r="14" spans="1:19" x14ac:dyDescent="0.25">
      <c r="A14" s="139" t="s">
        <v>114</v>
      </c>
      <c r="B14" s="139"/>
      <c r="C14" s="139"/>
      <c r="D14" s="139"/>
      <c r="E14" s="139"/>
      <c r="F14" s="139"/>
      <c r="G14" s="140" t="s">
        <v>115</v>
      </c>
      <c r="H14" s="139" t="s">
        <v>116</v>
      </c>
      <c r="I14" s="139"/>
      <c r="J14" s="139"/>
      <c r="K14" s="139"/>
      <c r="L14" s="139"/>
    </row>
    <row r="15" spans="1:19" x14ac:dyDescent="0.25">
      <c r="A15" t="s">
        <v>73</v>
      </c>
      <c r="B15">
        <v>19.689654999999998</v>
      </c>
      <c r="C15" t="s">
        <v>117</v>
      </c>
      <c r="D15">
        <v>1.985222</v>
      </c>
      <c r="E15" t="s">
        <v>118</v>
      </c>
      <c r="F15" s="1" t="s">
        <v>120</v>
      </c>
      <c r="G15" s="1">
        <f>+B15/D15</f>
        <v>9.9181124327657049</v>
      </c>
      <c r="H15" s="141" t="s">
        <v>121</v>
      </c>
      <c r="I15" s="1">
        <f>1/D15</f>
        <v>0.50372200187183092</v>
      </c>
      <c r="J15" s="1" t="s">
        <v>73</v>
      </c>
    </row>
    <row r="16" spans="1:19" x14ac:dyDescent="0.25">
      <c r="A16" t="s">
        <v>119</v>
      </c>
      <c r="B16" s="46">
        <f>10+2/2.9</f>
        <v>10.689655172413794</v>
      </c>
      <c r="C16" t="s">
        <v>117</v>
      </c>
      <c r="D16">
        <v>1.485222</v>
      </c>
      <c r="E16" t="s">
        <v>118</v>
      </c>
      <c r="F16" s="1" t="s">
        <v>122</v>
      </c>
      <c r="G16" s="1">
        <f>+B16/D16</f>
        <v>7.1973450247934609</v>
      </c>
      <c r="H16" s="141" t="s">
        <v>121</v>
      </c>
      <c r="I16" s="1">
        <f>1/D16</f>
        <v>0.67330001844842047</v>
      </c>
      <c r="J16" s="1" t="s">
        <v>74</v>
      </c>
    </row>
    <row r="17" spans="1:17" s="70" customFormat="1" x14ac:dyDescent="0.25">
      <c r="A17" s="31" t="s">
        <v>251</v>
      </c>
      <c r="B17" s="142"/>
      <c r="C17" s="31"/>
      <c r="D17" s="31"/>
      <c r="E17" s="31"/>
      <c r="F17" s="143"/>
      <c r="G17" s="143"/>
      <c r="H17" s="144"/>
      <c r="I17" s="143"/>
      <c r="J17" s="143"/>
      <c r="K17" s="31"/>
      <c r="L17" s="31"/>
      <c r="M17" s="31"/>
      <c r="N17" s="31"/>
      <c r="O17" s="31"/>
      <c r="P17" s="31"/>
      <c r="Q17" s="31"/>
    </row>
    <row r="18" spans="1:17" x14ac:dyDescent="0.25">
      <c r="A18" t="s">
        <v>52</v>
      </c>
      <c r="K18" t="s">
        <v>71</v>
      </c>
      <c r="L18" t="s">
        <v>72</v>
      </c>
      <c r="M18" s="7" t="s">
        <v>70</v>
      </c>
    </row>
    <row r="19" spans="1:17" x14ac:dyDescent="0.25">
      <c r="A19" t="s">
        <v>54</v>
      </c>
      <c r="B19" t="s">
        <v>55</v>
      </c>
      <c r="C19" t="s">
        <v>56</v>
      </c>
      <c r="D19" t="s">
        <v>57</v>
      </c>
      <c r="E19" t="s">
        <v>58</v>
      </c>
      <c r="F19" t="s">
        <v>53</v>
      </c>
      <c r="G19" t="s">
        <v>62</v>
      </c>
      <c r="H19" t="s">
        <v>63</v>
      </c>
      <c r="I19" t="s">
        <v>64</v>
      </c>
      <c r="J19" t="s">
        <v>65</v>
      </c>
      <c r="K19" t="s">
        <v>79</v>
      </c>
      <c r="L19" t="s">
        <v>79</v>
      </c>
      <c r="M19" s="7" t="s">
        <v>81</v>
      </c>
    </row>
    <row r="20" spans="1:17" x14ac:dyDescent="0.25">
      <c r="B20" s="15">
        <v>0</v>
      </c>
      <c r="C20" s="14">
        <v>0</v>
      </c>
      <c r="D20" s="14">
        <v>0</v>
      </c>
      <c r="E20" s="14">
        <v>0</v>
      </c>
      <c r="G20" s="15">
        <v>0</v>
      </c>
      <c r="H20" s="14">
        <v>0</v>
      </c>
      <c r="I20" s="14">
        <v>0</v>
      </c>
      <c r="J20" s="14">
        <v>0</v>
      </c>
      <c r="K20" t="s">
        <v>80</v>
      </c>
      <c r="L20" t="s">
        <v>80</v>
      </c>
      <c r="M20" s="7" t="s">
        <v>82</v>
      </c>
      <c r="Q20" s="14"/>
    </row>
    <row r="21" spans="1:17" x14ac:dyDescent="0.25">
      <c r="A21">
        <f t="shared" ref="A21:A52" si="0">($R$8-B21)/($R$9+1)</f>
        <v>8.9106699751861047</v>
      </c>
      <c r="B21" s="14">
        <v>1</v>
      </c>
      <c r="C21" s="15">
        <v>0</v>
      </c>
      <c r="D21" s="14">
        <v>0</v>
      </c>
      <c r="E21" s="14">
        <v>0</v>
      </c>
      <c r="F21">
        <f t="shared" ref="F21:F52" si="1">IF(($Q$8-G21)/$Q$9&gt;0,($Q$8-G21)/$Q$9,0)</f>
        <v>5.8507462686567164</v>
      </c>
      <c r="G21" s="14">
        <v>1</v>
      </c>
      <c r="H21" s="15">
        <v>0</v>
      </c>
      <c r="I21" s="14">
        <v>0</v>
      </c>
      <c r="J21" s="14">
        <v>0</v>
      </c>
      <c r="K21" s="7">
        <f t="shared" ref="K21:K52" si="2">ROUND(A21,0)</f>
        <v>9</v>
      </c>
      <c r="L21" s="22">
        <f t="shared" ref="L21:L52" si="3">ROUND(F21,0)</f>
        <v>6</v>
      </c>
      <c r="M21" s="22">
        <f t="shared" ref="M21:M52" si="4">MAX(N21,O21)</f>
        <v>9</v>
      </c>
      <c r="N21">
        <v>9</v>
      </c>
      <c r="P21">
        <v>1</v>
      </c>
      <c r="Q21" s="14"/>
    </row>
    <row r="22" spans="1:17" x14ac:dyDescent="0.25">
      <c r="A22">
        <f t="shared" si="0"/>
        <v>8.9106699751861047</v>
      </c>
      <c r="B22" s="14">
        <v>1</v>
      </c>
      <c r="C22" s="14">
        <v>1</v>
      </c>
      <c r="D22" s="15">
        <v>0</v>
      </c>
      <c r="E22" s="14">
        <v>0</v>
      </c>
      <c r="F22">
        <f t="shared" si="1"/>
        <v>5.8507462686567164</v>
      </c>
      <c r="G22" s="14">
        <v>1</v>
      </c>
      <c r="H22" s="14">
        <v>1</v>
      </c>
      <c r="I22" s="15">
        <v>0</v>
      </c>
      <c r="J22" s="14">
        <v>0</v>
      </c>
      <c r="K22" s="7">
        <f t="shared" si="2"/>
        <v>9</v>
      </c>
      <c r="L22" s="22">
        <f t="shared" si="3"/>
        <v>6</v>
      </c>
      <c r="M22" s="22">
        <f t="shared" si="4"/>
        <v>9</v>
      </c>
      <c r="N22">
        <v>9</v>
      </c>
      <c r="P22">
        <v>2</v>
      </c>
      <c r="Q22" s="14"/>
    </row>
    <row r="23" spans="1:17" x14ac:dyDescent="0.25">
      <c r="A23">
        <f t="shared" si="0"/>
        <v>8.9106699751861047</v>
      </c>
      <c r="B23" s="14">
        <v>1</v>
      </c>
      <c r="C23" s="14">
        <v>1</v>
      </c>
      <c r="D23" s="14">
        <v>1</v>
      </c>
      <c r="E23" s="15">
        <v>0</v>
      </c>
      <c r="F23">
        <f t="shared" si="1"/>
        <v>5.8507462686567164</v>
      </c>
      <c r="G23" s="14">
        <v>1</v>
      </c>
      <c r="H23" s="14">
        <v>1</v>
      </c>
      <c r="I23" s="14">
        <v>1</v>
      </c>
      <c r="J23" s="15">
        <v>0</v>
      </c>
      <c r="K23" s="7">
        <f t="shared" si="2"/>
        <v>9</v>
      </c>
      <c r="L23" s="22">
        <f t="shared" si="3"/>
        <v>6</v>
      </c>
      <c r="M23" s="22">
        <f t="shared" si="4"/>
        <v>9</v>
      </c>
      <c r="N23">
        <v>9</v>
      </c>
      <c r="P23">
        <v>3</v>
      </c>
      <c r="Q23" s="14"/>
    </row>
    <row r="24" spans="1:17" x14ac:dyDescent="0.25">
      <c r="A24">
        <f t="shared" si="0"/>
        <v>8.9106699751861047</v>
      </c>
      <c r="B24" s="14">
        <v>1</v>
      </c>
      <c r="C24" s="14">
        <v>1</v>
      </c>
      <c r="D24" s="14">
        <v>1</v>
      </c>
      <c r="E24" s="14">
        <v>1</v>
      </c>
      <c r="F24" s="5">
        <f t="shared" si="1"/>
        <v>5.8507462686567164</v>
      </c>
      <c r="G24" s="6">
        <v>1</v>
      </c>
      <c r="H24" s="6">
        <v>1</v>
      </c>
      <c r="I24" s="6">
        <v>1</v>
      </c>
      <c r="J24" s="6">
        <v>1</v>
      </c>
      <c r="K24" s="7">
        <f t="shared" si="2"/>
        <v>9</v>
      </c>
      <c r="L24" s="22">
        <f t="shared" si="3"/>
        <v>6</v>
      </c>
      <c r="M24" s="22">
        <f t="shared" si="4"/>
        <v>9</v>
      </c>
      <c r="N24">
        <v>9</v>
      </c>
      <c r="P24">
        <v>4</v>
      </c>
      <c r="Q24" s="14"/>
    </row>
    <row r="25" spans="1:17" x14ac:dyDescent="0.25">
      <c r="A25">
        <f t="shared" si="0"/>
        <v>8.4069478908188575</v>
      </c>
      <c r="B25" s="14">
        <v>2</v>
      </c>
      <c r="C25" s="14">
        <v>1</v>
      </c>
      <c r="D25" s="14">
        <v>1</v>
      </c>
      <c r="E25" s="14">
        <v>1</v>
      </c>
      <c r="F25">
        <f t="shared" si="1"/>
        <v>5.1774461028192373</v>
      </c>
      <c r="G25" s="14">
        <v>2</v>
      </c>
      <c r="H25" s="14">
        <v>1</v>
      </c>
      <c r="I25" s="14">
        <v>1</v>
      </c>
      <c r="J25" s="14">
        <v>1</v>
      </c>
      <c r="K25" s="7">
        <f t="shared" si="2"/>
        <v>8</v>
      </c>
      <c r="L25" s="22">
        <f t="shared" si="3"/>
        <v>5</v>
      </c>
      <c r="M25" s="22">
        <f t="shared" si="4"/>
        <v>8</v>
      </c>
      <c r="N25">
        <v>8</v>
      </c>
      <c r="P25">
        <v>5</v>
      </c>
      <c r="Q25" s="14"/>
    </row>
    <row r="26" spans="1:17" x14ac:dyDescent="0.25">
      <c r="A26">
        <f t="shared" si="0"/>
        <v>8.4069478908188575</v>
      </c>
      <c r="B26" s="14">
        <v>2</v>
      </c>
      <c r="C26" s="14">
        <v>2</v>
      </c>
      <c r="D26" s="14">
        <v>1</v>
      </c>
      <c r="E26" s="14">
        <v>1</v>
      </c>
      <c r="F26">
        <f t="shared" si="1"/>
        <v>5.1774461028192373</v>
      </c>
      <c r="G26" s="14">
        <v>2</v>
      </c>
      <c r="H26" s="14">
        <v>2</v>
      </c>
      <c r="I26" s="14">
        <v>1</v>
      </c>
      <c r="J26" s="14">
        <v>1</v>
      </c>
      <c r="K26" s="7">
        <f t="shared" si="2"/>
        <v>8</v>
      </c>
      <c r="L26" s="22">
        <f t="shared" si="3"/>
        <v>5</v>
      </c>
      <c r="M26" s="22">
        <f t="shared" si="4"/>
        <v>8</v>
      </c>
      <c r="N26">
        <v>8</v>
      </c>
      <c r="P26">
        <v>6</v>
      </c>
      <c r="Q26" s="14"/>
    </row>
    <row r="27" spans="1:17" x14ac:dyDescent="0.25">
      <c r="A27">
        <f t="shared" si="0"/>
        <v>8.4069478908188575</v>
      </c>
      <c r="B27" s="14">
        <v>2</v>
      </c>
      <c r="C27" s="14">
        <v>2</v>
      </c>
      <c r="D27" s="14">
        <v>2</v>
      </c>
      <c r="E27" s="14">
        <v>1</v>
      </c>
      <c r="F27">
        <f t="shared" si="1"/>
        <v>5.1774461028192373</v>
      </c>
      <c r="G27" s="14">
        <v>2</v>
      </c>
      <c r="H27" s="14">
        <v>2</v>
      </c>
      <c r="I27" s="14">
        <v>2</v>
      </c>
      <c r="J27" s="14">
        <v>1</v>
      </c>
      <c r="K27" s="7">
        <f t="shared" si="2"/>
        <v>8</v>
      </c>
      <c r="L27" s="22">
        <f t="shared" si="3"/>
        <v>5</v>
      </c>
      <c r="M27" s="22">
        <f t="shared" si="4"/>
        <v>8</v>
      </c>
      <c r="N27">
        <v>8</v>
      </c>
      <c r="P27">
        <v>7</v>
      </c>
      <c r="Q27" s="14"/>
    </row>
    <row r="28" spans="1:17" x14ac:dyDescent="0.25">
      <c r="A28">
        <f t="shared" si="0"/>
        <v>8.4069478908188575</v>
      </c>
      <c r="B28" s="14">
        <v>2</v>
      </c>
      <c r="C28" s="14">
        <v>2</v>
      </c>
      <c r="D28" s="14">
        <v>2</v>
      </c>
      <c r="E28" s="14">
        <v>2</v>
      </c>
      <c r="F28">
        <f t="shared" si="1"/>
        <v>5.1774461028192373</v>
      </c>
      <c r="G28" s="14">
        <v>2</v>
      </c>
      <c r="H28" s="14">
        <v>2</v>
      </c>
      <c r="I28" s="14">
        <v>2</v>
      </c>
      <c r="J28" s="14">
        <v>2</v>
      </c>
      <c r="K28" s="7">
        <f t="shared" si="2"/>
        <v>8</v>
      </c>
      <c r="L28" s="22">
        <f t="shared" si="3"/>
        <v>5</v>
      </c>
      <c r="M28" s="22">
        <f t="shared" si="4"/>
        <v>8</v>
      </c>
      <c r="N28">
        <v>8</v>
      </c>
      <c r="P28">
        <v>8</v>
      </c>
      <c r="Q28" s="14"/>
    </row>
    <row r="29" spans="1:17" x14ac:dyDescent="0.25">
      <c r="A29">
        <f t="shared" si="0"/>
        <v>7.903225806451613</v>
      </c>
      <c r="B29" s="14">
        <v>3</v>
      </c>
      <c r="C29" s="14">
        <v>2</v>
      </c>
      <c r="D29" s="14">
        <v>2</v>
      </c>
      <c r="E29" s="14">
        <v>2</v>
      </c>
      <c r="F29">
        <f t="shared" si="1"/>
        <v>4.5041459369817582</v>
      </c>
      <c r="G29" s="14">
        <v>3</v>
      </c>
      <c r="H29" s="14">
        <v>2</v>
      </c>
      <c r="I29" s="14">
        <v>2</v>
      </c>
      <c r="J29" s="14">
        <v>2</v>
      </c>
      <c r="K29" s="7">
        <f t="shared" si="2"/>
        <v>8</v>
      </c>
      <c r="L29" s="22">
        <f t="shared" si="3"/>
        <v>5</v>
      </c>
      <c r="M29" s="22">
        <f t="shared" si="4"/>
        <v>8</v>
      </c>
      <c r="N29">
        <v>8</v>
      </c>
      <c r="P29">
        <v>9</v>
      </c>
      <c r="Q29" s="14"/>
    </row>
    <row r="30" spans="1:17" x14ac:dyDescent="0.25">
      <c r="A30">
        <f t="shared" si="0"/>
        <v>7.903225806451613</v>
      </c>
      <c r="B30" s="14">
        <v>3</v>
      </c>
      <c r="C30" s="14">
        <v>3</v>
      </c>
      <c r="D30" s="14">
        <v>2</v>
      </c>
      <c r="E30" s="14">
        <v>2</v>
      </c>
      <c r="F30">
        <f t="shared" si="1"/>
        <v>4.5041459369817582</v>
      </c>
      <c r="G30" s="14">
        <v>3</v>
      </c>
      <c r="H30" s="14">
        <v>3</v>
      </c>
      <c r="I30" s="14">
        <v>2</v>
      </c>
      <c r="J30" s="14">
        <v>2</v>
      </c>
      <c r="K30" s="7">
        <f t="shared" si="2"/>
        <v>8</v>
      </c>
      <c r="L30" s="22">
        <f t="shared" si="3"/>
        <v>5</v>
      </c>
      <c r="M30" s="22">
        <f t="shared" si="4"/>
        <v>8</v>
      </c>
      <c r="N30">
        <v>8</v>
      </c>
      <c r="P30">
        <v>10</v>
      </c>
      <c r="Q30" s="14"/>
    </row>
    <row r="31" spans="1:17" x14ac:dyDescent="0.25">
      <c r="A31">
        <f t="shared" si="0"/>
        <v>7.903225806451613</v>
      </c>
      <c r="B31" s="14">
        <v>3</v>
      </c>
      <c r="C31" s="14">
        <v>3</v>
      </c>
      <c r="D31" s="14">
        <v>3</v>
      </c>
      <c r="E31" s="14">
        <v>2</v>
      </c>
      <c r="F31">
        <f t="shared" si="1"/>
        <v>4.5041459369817582</v>
      </c>
      <c r="G31" s="14">
        <v>3</v>
      </c>
      <c r="H31" s="14">
        <v>3</v>
      </c>
      <c r="I31" s="14">
        <v>3</v>
      </c>
      <c r="J31" s="14">
        <v>2</v>
      </c>
      <c r="K31" s="7">
        <f t="shared" si="2"/>
        <v>8</v>
      </c>
      <c r="L31" s="22">
        <f t="shared" si="3"/>
        <v>5</v>
      </c>
      <c r="M31" s="22">
        <f t="shared" si="4"/>
        <v>8</v>
      </c>
      <c r="N31">
        <v>8</v>
      </c>
      <c r="P31">
        <v>11</v>
      </c>
      <c r="Q31" s="14"/>
    </row>
    <row r="32" spans="1:17" x14ac:dyDescent="0.25">
      <c r="A32">
        <f t="shared" si="0"/>
        <v>7.903225806451613</v>
      </c>
      <c r="B32" s="14">
        <v>3</v>
      </c>
      <c r="C32" s="14">
        <v>3</v>
      </c>
      <c r="D32" s="14">
        <v>3</v>
      </c>
      <c r="E32" s="14">
        <v>3</v>
      </c>
      <c r="F32">
        <f t="shared" si="1"/>
        <v>4.5041459369817582</v>
      </c>
      <c r="G32" s="14">
        <v>3</v>
      </c>
      <c r="H32" s="14">
        <v>3</v>
      </c>
      <c r="I32" s="14">
        <v>3</v>
      </c>
      <c r="J32" s="14">
        <v>3</v>
      </c>
      <c r="K32" s="7">
        <f t="shared" si="2"/>
        <v>8</v>
      </c>
      <c r="L32" s="22">
        <f t="shared" si="3"/>
        <v>5</v>
      </c>
      <c r="M32" s="22">
        <f t="shared" si="4"/>
        <v>8</v>
      </c>
      <c r="N32">
        <v>8</v>
      </c>
      <c r="P32">
        <v>12</v>
      </c>
      <c r="Q32" s="14"/>
    </row>
    <row r="33" spans="1:32" x14ac:dyDescent="0.25">
      <c r="A33">
        <f t="shared" si="0"/>
        <v>7.3995037220843667</v>
      </c>
      <c r="B33" s="14">
        <v>4</v>
      </c>
      <c r="C33" s="14">
        <v>3</v>
      </c>
      <c r="D33" s="14">
        <v>3</v>
      </c>
      <c r="E33" s="14">
        <v>3</v>
      </c>
      <c r="F33">
        <f t="shared" si="1"/>
        <v>3.8308457711442787</v>
      </c>
      <c r="G33" s="14">
        <v>4</v>
      </c>
      <c r="H33" s="14">
        <v>3</v>
      </c>
      <c r="I33" s="14">
        <v>3</v>
      </c>
      <c r="J33" s="14">
        <v>3</v>
      </c>
      <c r="K33" s="7">
        <f t="shared" si="2"/>
        <v>7</v>
      </c>
      <c r="L33" s="22">
        <f t="shared" si="3"/>
        <v>4</v>
      </c>
      <c r="M33" s="22">
        <f t="shared" si="4"/>
        <v>7</v>
      </c>
      <c r="N33">
        <v>7</v>
      </c>
      <c r="P33">
        <v>13</v>
      </c>
      <c r="Q33" s="14"/>
    </row>
    <row r="34" spans="1:32" x14ac:dyDescent="0.25">
      <c r="A34">
        <f t="shared" si="0"/>
        <v>7.3995037220843667</v>
      </c>
      <c r="B34" s="14">
        <v>4</v>
      </c>
      <c r="C34" s="14">
        <v>4</v>
      </c>
      <c r="D34" s="14">
        <v>3</v>
      </c>
      <c r="E34" s="14">
        <v>3</v>
      </c>
      <c r="F34">
        <f t="shared" si="1"/>
        <v>3.8308457711442787</v>
      </c>
      <c r="G34" s="14">
        <v>4</v>
      </c>
      <c r="H34" s="14">
        <v>4</v>
      </c>
      <c r="I34" s="14">
        <v>3</v>
      </c>
      <c r="J34" s="14">
        <v>3</v>
      </c>
      <c r="K34" s="7">
        <f t="shared" si="2"/>
        <v>7</v>
      </c>
      <c r="L34" s="22">
        <f t="shared" si="3"/>
        <v>4</v>
      </c>
      <c r="M34" s="22">
        <f t="shared" si="4"/>
        <v>7</v>
      </c>
      <c r="N34">
        <v>7</v>
      </c>
      <c r="P34">
        <v>14</v>
      </c>
      <c r="Q34" s="14"/>
    </row>
    <row r="35" spans="1:32" x14ac:dyDescent="0.25">
      <c r="A35">
        <f t="shared" si="0"/>
        <v>7.3995037220843667</v>
      </c>
      <c r="B35" s="14">
        <v>4</v>
      </c>
      <c r="C35" s="14">
        <v>4</v>
      </c>
      <c r="D35" s="14">
        <v>4</v>
      </c>
      <c r="E35" s="14">
        <v>3</v>
      </c>
      <c r="F35">
        <f t="shared" si="1"/>
        <v>3.8308457711442787</v>
      </c>
      <c r="G35" s="14">
        <v>4</v>
      </c>
      <c r="H35" s="14">
        <v>4</v>
      </c>
      <c r="I35" s="14">
        <v>4</v>
      </c>
      <c r="J35" s="14">
        <v>3</v>
      </c>
      <c r="K35" s="7">
        <f t="shared" si="2"/>
        <v>7</v>
      </c>
      <c r="L35" s="22">
        <f t="shared" si="3"/>
        <v>4</v>
      </c>
      <c r="M35" s="22">
        <f t="shared" si="4"/>
        <v>7</v>
      </c>
      <c r="N35">
        <v>7</v>
      </c>
      <c r="P35">
        <v>15</v>
      </c>
      <c r="Q35" s="14"/>
    </row>
    <row r="36" spans="1:32" s="17" customFormat="1" x14ac:dyDescent="0.25">
      <c r="A36">
        <f t="shared" si="0"/>
        <v>7.3995037220843667</v>
      </c>
      <c r="B36" s="18">
        <v>4</v>
      </c>
      <c r="C36" s="18">
        <v>4</v>
      </c>
      <c r="D36" s="18">
        <v>4</v>
      </c>
      <c r="E36" s="18">
        <v>4</v>
      </c>
      <c r="F36">
        <f t="shared" si="1"/>
        <v>3.8308457711442787</v>
      </c>
      <c r="G36" s="18">
        <v>4</v>
      </c>
      <c r="H36" s="18">
        <v>4</v>
      </c>
      <c r="I36" s="18">
        <v>4</v>
      </c>
      <c r="J36" s="18">
        <v>4</v>
      </c>
      <c r="K36" s="7">
        <f t="shared" si="2"/>
        <v>7</v>
      </c>
      <c r="L36" s="22">
        <f t="shared" si="3"/>
        <v>4</v>
      </c>
      <c r="M36" s="22">
        <f t="shared" si="4"/>
        <v>7</v>
      </c>
      <c r="N36" s="17">
        <v>7</v>
      </c>
      <c r="O36"/>
      <c r="P36">
        <v>16</v>
      </c>
      <c r="Q36" s="14"/>
    </row>
    <row r="37" spans="1:32" x14ac:dyDescent="0.25">
      <c r="A37">
        <f t="shared" si="0"/>
        <v>6.8957816377171213</v>
      </c>
      <c r="B37" s="14">
        <v>5</v>
      </c>
      <c r="C37" s="14">
        <v>4</v>
      </c>
      <c r="D37" s="14">
        <v>4</v>
      </c>
      <c r="E37" s="14">
        <v>4</v>
      </c>
      <c r="F37">
        <f t="shared" si="1"/>
        <v>3.1575456053067992</v>
      </c>
      <c r="G37" s="14">
        <v>5</v>
      </c>
      <c r="H37" s="14">
        <v>4</v>
      </c>
      <c r="I37" s="14">
        <v>4</v>
      </c>
      <c r="J37" s="14">
        <v>4</v>
      </c>
      <c r="K37" s="7">
        <f t="shared" si="2"/>
        <v>7</v>
      </c>
      <c r="L37" s="22">
        <f t="shared" si="3"/>
        <v>3</v>
      </c>
      <c r="M37" s="22">
        <f t="shared" si="4"/>
        <v>7</v>
      </c>
      <c r="N37">
        <v>7</v>
      </c>
      <c r="P37">
        <v>17</v>
      </c>
      <c r="Q37" s="14"/>
    </row>
    <row r="38" spans="1:32" x14ac:dyDescent="0.25">
      <c r="A38">
        <f t="shared" si="0"/>
        <v>6.8957816377171213</v>
      </c>
      <c r="B38" s="14">
        <v>5</v>
      </c>
      <c r="C38" s="14">
        <v>5</v>
      </c>
      <c r="D38" s="14">
        <v>4</v>
      </c>
      <c r="E38" s="14">
        <v>4</v>
      </c>
      <c r="F38">
        <f t="shared" si="1"/>
        <v>3.1575456053067992</v>
      </c>
      <c r="G38" s="14">
        <v>5</v>
      </c>
      <c r="H38" s="14">
        <v>5</v>
      </c>
      <c r="I38" s="14">
        <v>4</v>
      </c>
      <c r="J38" s="14">
        <v>4</v>
      </c>
      <c r="K38" s="7">
        <f t="shared" si="2"/>
        <v>7</v>
      </c>
      <c r="L38" s="22">
        <f t="shared" si="3"/>
        <v>3</v>
      </c>
      <c r="M38" s="22">
        <f t="shared" si="4"/>
        <v>7</v>
      </c>
      <c r="N38">
        <v>7</v>
      </c>
      <c r="P38">
        <v>18</v>
      </c>
      <c r="Q38" s="14"/>
    </row>
    <row r="39" spans="1:32" x14ac:dyDescent="0.25">
      <c r="A39">
        <f t="shared" si="0"/>
        <v>6.8957816377171213</v>
      </c>
      <c r="B39" s="14">
        <v>5</v>
      </c>
      <c r="C39" s="14">
        <v>5</v>
      </c>
      <c r="D39" s="14">
        <v>5</v>
      </c>
      <c r="E39" s="14">
        <v>4</v>
      </c>
      <c r="F39">
        <f t="shared" si="1"/>
        <v>3.1575456053067992</v>
      </c>
      <c r="G39" s="14">
        <v>5</v>
      </c>
      <c r="H39" s="14">
        <v>5</v>
      </c>
      <c r="I39" s="14">
        <v>5</v>
      </c>
      <c r="J39" s="14">
        <v>4</v>
      </c>
      <c r="K39" s="7">
        <f t="shared" si="2"/>
        <v>7</v>
      </c>
      <c r="L39" s="22">
        <f t="shared" si="3"/>
        <v>3</v>
      </c>
      <c r="M39" s="22">
        <f t="shared" si="4"/>
        <v>7</v>
      </c>
      <c r="N39">
        <v>7</v>
      </c>
      <c r="P39">
        <v>19</v>
      </c>
      <c r="Q39" s="14"/>
      <c r="S39" s="187"/>
    </row>
    <row r="40" spans="1:32" x14ac:dyDescent="0.25">
      <c r="A40">
        <f t="shared" si="0"/>
        <v>6.8957816377171213</v>
      </c>
      <c r="B40" s="14">
        <v>5</v>
      </c>
      <c r="C40" s="14">
        <v>5</v>
      </c>
      <c r="D40" s="14">
        <v>5</v>
      </c>
      <c r="E40" s="14">
        <v>5</v>
      </c>
      <c r="F40">
        <f t="shared" si="1"/>
        <v>3.1575456053067992</v>
      </c>
      <c r="G40" s="14">
        <v>5</v>
      </c>
      <c r="H40" s="14">
        <v>5</v>
      </c>
      <c r="I40" s="14">
        <v>5</v>
      </c>
      <c r="J40" s="14">
        <v>5</v>
      </c>
      <c r="K40" s="7">
        <f t="shared" si="2"/>
        <v>7</v>
      </c>
      <c r="L40" s="22">
        <f t="shared" si="3"/>
        <v>3</v>
      </c>
      <c r="M40" s="22">
        <f t="shared" si="4"/>
        <v>7</v>
      </c>
      <c r="N40">
        <v>7</v>
      </c>
      <c r="P40">
        <v>20</v>
      </c>
      <c r="Q40" s="14"/>
      <c r="S40" s="187"/>
    </row>
    <row r="41" spans="1:32" x14ac:dyDescent="0.25">
      <c r="A41">
        <f t="shared" si="0"/>
        <v>6.3920595533498759</v>
      </c>
      <c r="B41" s="14">
        <v>6</v>
      </c>
      <c r="C41" s="14">
        <v>5</v>
      </c>
      <c r="D41" s="14">
        <v>5</v>
      </c>
      <c r="E41" s="14">
        <v>5</v>
      </c>
      <c r="F41">
        <f t="shared" si="1"/>
        <v>2.4842454394693201</v>
      </c>
      <c r="G41" s="14">
        <v>6</v>
      </c>
      <c r="H41" s="14">
        <v>5</v>
      </c>
      <c r="I41" s="14">
        <v>5</v>
      </c>
      <c r="J41" s="14">
        <v>5</v>
      </c>
      <c r="K41" s="7">
        <f t="shared" si="2"/>
        <v>6</v>
      </c>
      <c r="L41" s="22">
        <f t="shared" si="3"/>
        <v>2</v>
      </c>
      <c r="M41" s="22">
        <f t="shared" si="4"/>
        <v>6</v>
      </c>
      <c r="N41">
        <v>6</v>
      </c>
      <c r="P41">
        <v>21</v>
      </c>
      <c r="Q41" s="14"/>
      <c r="S41" s="187"/>
      <c r="T41" s="14"/>
    </row>
    <row r="42" spans="1:32" x14ac:dyDescent="0.25">
      <c r="A42">
        <f t="shared" si="0"/>
        <v>6.3920595533498759</v>
      </c>
      <c r="B42" s="14">
        <v>6</v>
      </c>
      <c r="C42" s="14">
        <v>6</v>
      </c>
      <c r="D42" s="14">
        <v>5</v>
      </c>
      <c r="E42" s="14">
        <v>5</v>
      </c>
      <c r="F42">
        <f t="shared" si="1"/>
        <v>2.4842454394693201</v>
      </c>
      <c r="G42" s="14">
        <v>6</v>
      </c>
      <c r="H42" s="14">
        <v>6</v>
      </c>
      <c r="I42" s="14">
        <v>5</v>
      </c>
      <c r="J42" s="14">
        <v>5</v>
      </c>
      <c r="K42" s="7">
        <f t="shared" si="2"/>
        <v>6</v>
      </c>
      <c r="L42" s="22">
        <f t="shared" si="3"/>
        <v>2</v>
      </c>
      <c r="M42" s="22">
        <f t="shared" si="4"/>
        <v>6</v>
      </c>
      <c r="N42">
        <v>6</v>
      </c>
      <c r="P42">
        <v>22</v>
      </c>
      <c r="Q42" s="14"/>
      <c r="R42" t="s">
        <v>59</v>
      </c>
      <c r="S42" s="187"/>
      <c r="T42" s="14"/>
      <c r="U42" s="14"/>
      <c r="V42" s="14"/>
      <c r="W42" s="14"/>
      <c r="X42" s="14"/>
    </row>
    <row r="43" spans="1:32" x14ac:dyDescent="0.25">
      <c r="A43">
        <f t="shared" si="0"/>
        <v>6.3920595533498759</v>
      </c>
      <c r="B43" s="14">
        <v>6</v>
      </c>
      <c r="C43" s="14">
        <v>6</v>
      </c>
      <c r="D43" s="14">
        <v>6</v>
      </c>
      <c r="E43" s="14">
        <v>5</v>
      </c>
      <c r="F43">
        <f t="shared" si="1"/>
        <v>2.4842454394693201</v>
      </c>
      <c r="G43" s="14">
        <v>6</v>
      </c>
      <c r="H43" s="14">
        <v>6</v>
      </c>
      <c r="I43" s="14">
        <v>6</v>
      </c>
      <c r="J43" s="14">
        <v>5</v>
      </c>
      <c r="K43" s="7">
        <f t="shared" si="2"/>
        <v>6</v>
      </c>
      <c r="L43" s="22">
        <f t="shared" si="3"/>
        <v>2</v>
      </c>
      <c r="M43" s="22">
        <f t="shared" si="4"/>
        <v>6</v>
      </c>
      <c r="N43">
        <v>6</v>
      </c>
      <c r="P43">
        <v>23</v>
      </c>
      <c r="Q43" s="14"/>
      <c r="R43" t="s">
        <v>89</v>
      </c>
      <c r="S43" s="187"/>
      <c r="T43" s="14"/>
      <c r="U43" s="19"/>
      <c r="V43" s="20"/>
      <c r="W43" s="14"/>
      <c r="Z43" s="21"/>
    </row>
    <row r="44" spans="1:32" x14ac:dyDescent="0.25">
      <c r="A44" s="5">
        <f t="shared" si="0"/>
        <v>6.3920595533498759</v>
      </c>
      <c r="B44" s="6">
        <v>6</v>
      </c>
      <c r="C44" s="6">
        <v>6</v>
      </c>
      <c r="D44" s="6">
        <v>6</v>
      </c>
      <c r="E44" s="6">
        <v>6</v>
      </c>
      <c r="F44">
        <f t="shared" si="1"/>
        <v>2.4842454394693201</v>
      </c>
      <c r="G44" s="14">
        <v>6</v>
      </c>
      <c r="H44" s="14">
        <v>6</v>
      </c>
      <c r="I44" s="14">
        <v>6</v>
      </c>
      <c r="J44" s="14">
        <v>6</v>
      </c>
      <c r="K44" s="7">
        <f t="shared" si="2"/>
        <v>6</v>
      </c>
      <c r="L44" s="22">
        <f t="shared" si="3"/>
        <v>2</v>
      </c>
      <c r="M44" s="22">
        <f t="shared" si="4"/>
        <v>6</v>
      </c>
      <c r="N44">
        <v>6</v>
      </c>
      <c r="P44">
        <v>24</v>
      </c>
      <c r="Q44" s="14"/>
    </row>
    <row r="45" spans="1:32" x14ac:dyDescent="0.25">
      <c r="A45">
        <f t="shared" si="0"/>
        <v>5.8883374689826304</v>
      </c>
      <c r="B45" s="14">
        <v>7</v>
      </c>
      <c r="C45" s="14">
        <v>6</v>
      </c>
      <c r="D45" s="14">
        <v>6</v>
      </c>
      <c r="E45" s="14">
        <v>6</v>
      </c>
      <c r="F45">
        <f t="shared" si="1"/>
        <v>1.810945273631841</v>
      </c>
      <c r="G45" s="14">
        <v>7</v>
      </c>
      <c r="H45" s="14">
        <v>6</v>
      </c>
      <c r="I45" s="14">
        <v>6</v>
      </c>
      <c r="J45" s="14">
        <v>6</v>
      </c>
      <c r="K45" s="7">
        <f t="shared" si="2"/>
        <v>6</v>
      </c>
      <c r="L45" s="22">
        <f t="shared" si="3"/>
        <v>2</v>
      </c>
      <c r="M45" s="22">
        <f t="shared" si="4"/>
        <v>6</v>
      </c>
      <c r="N45">
        <v>6</v>
      </c>
      <c r="P45">
        <v>25</v>
      </c>
      <c r="Q45" s="14"/>
    </row>
    <row r="46" spans="1:32" x14ac:dyDescent="0.25">
      <c r="A46">
        <f t="shared" si="0"/>
        <v>5.8883374689826304</v>
      </c>
      <c r="B46" s="14">
        <v>7</v>
      </c>
      <c r="C46" s="14">
        <v>7</v>
      </c>
      <c r="D46" s="14">
        <v>6</v>
      </c>
      <c r="E46" s="14">
        <v>6</v>
      </c>
      <c r="F46">
        <f t="shared" si="1"/>
        <v>1.810945273631841</v>
      </c>
      <c r="G46" s="14">
        <v>7</v>
      </c>
      <c r="H46" s="14">
        <v>7</v>
      </c>
      <c r="I46" s="14">
        <v>6</v>
      </c>
      <c r="J46" s="14">
        <v>6</v>
      </c>
      <c r="K46" s="7">
        <f t="shared" si="2"/>
        <v>6</v>
      </c>
      <c r="L46" s="22">
        <f t="shared" si="3"/>
        <v>2</v>
      </c>
      <c r="M46" s="22">
        <f t="shared" si="4"/>
        <v>6</v>
      </c>
      <c r="N46">
        <v>6</v>
      </c>
      <c r="P46">
        <v>26</v>
      </c>
      <c r="Q46" s="14"/>
      <c r="R46" t="s">
        <v>92</v>
      </c>
      <c r="AE46" s="14"/>
      <c r="AF46" s="22"/>
    </row>
    <row r="47" spans="1:32" x14ac:dyDescent="0.25">
      <c r="A47">
        <f t="shared" si="0"/>
        <v>5.8883374689826304</v>
      </c>
      <c r="B47" s="14">
        <v>7</v>
      </c>
      <c r="C47" s="14">
        <v>7</v>
      </c>
      <c r="D47" s="14">
        <v>7</v>
      </c>
      <c r="E47" s="14">
        <v>6</v>
      </c>
      <c r="F47">
        <f t="shared" si="1"/>
        <v>1.810945273631841</v>
      </c>
      <c r="G47" s="14">
        <v>7</v>
      </c>
      <c r="H47" s="14">
        <v>7</v>
      </c>
      <c r="I47" s="14">
        <v>7</v>
      </c>
      <c r="J47" s="14">
        <v>6</v>
      </c>
      <c r="K47" s="7">
        <f t="shared" si="2"/>
        <v>6</v>
      </c>
      <c r="L47" s="22">
        <f t="shared" si="3"/>
        <v>2</v>
      </c>
      <c r="M47" s="22">
        <f t="shared" si="4"/>
        <v>6</v>
      </c>
      <c r="N47">
        <v>6</v>
      </c>
      <c r="P47">
        <v>27</v>
      </c>
      <c r="Q47" s="14"/>
      <c r="S47" s="312" t="s">
        <v>253</v>
      </c>
      <c r="T47" s="313"/>
      <c r="U47" s="313"/>
      <c r="V47" s="314"/>
      <c r="W47" s="315" t="s">
        <v>254</v>
      </c>
      <c r="X47" s="316"/>
      <c r="Y47" s="316"/>
      <c r="Z47" s="317"/>
      <c r="AE47" s="14"/>
      <c r="AF47" s="22"/>
    </row>
    <row r="48" spans="1:32" x14ac:dyDescent="0.25">
      <c r="A48">
        <f t="shared" si="0"/>
        <v>5.8883374689826304</v>
      </c>
      <c r="B48" s="14">
        <v>7</v>
      </c>
      <c r="C48" s="14">
        <v>7</v>
      </c>
      <c r="D48" s="14">
        <v>7</v>
      </c>
      <c r="E48" s="14">
        <v>7</v>
      </c>
      <c r="F48">
        <f t="shared" si="1"/>
        <v>1.810945273631841</v>
      </c>
      <c r="G48" s="14">
        <v>7</v>
      </c>
      <c r="H48" s="14">
        <v>7</v>
      </c>
      <c r="I48" s="14">
        <v>7</v>
      </c>
      <c r="J48" s="14">
        <v>7</v>
      </c>
      <c r="K48" s="7">
        <f t="shared" si="2"/>
        <v>6</v>
      </c>
      <c r="L48" s="22">
        <f t="shared" si="3"/>
        <v>2</v>
      </c>
      <c r="M48" s="22">
        <f t="shared" si="4"/>
        <v>6</v>
      </c>
      <c r="N48">
        <v>6</v>
      </c>
      <c r="P48">
        <v>28</v>
      </c>
      <c r="Q48" s="14"/>
      <c r="S48" s="310" t="s">
        <v>83</v>
      </c>
      <c r="T48" s="310"/>
      <c r="U48" s="145" t="s">
        <v>84</v>
      </c>
      <c r="V48" s="145"/>
      <c r="W48" s="310" t="s">
        <v>83</v>
      </c>
      <c r="X48" s="310"/>
      <c r="Y48" s="311" t="s">
        <v>78</v>
      </c>
      <c r="Z48" s="311"/>
      <c r="AA48" t="s">
        <v>84</v>
      </c>
      <c r="AC48" t="s">
        <v>85</v>
      </c>
      <c r="AE48" s="14"/>
      <c r="AF48" s="22"/>
    </row>
    <row r="49" spans="1:32" x14ac:dyDescent="0.25">
      <c r="A49">
        <f t="shared" si="0"/>
        <v>5.3846153846153841</v>
      </c>
      <c r="B49" s="14">
        <v>8</v>
      </c>
      <c r="C49" s="14">
        <v>7</v>
      </c>
      <c r="D49" s="14">
        <v>7</v>
      </c>
      <c r="E49" s="14">
        <v>7</v>
      </c>
      <c r="F49">
        <f t="shared" si="1"/>
        <v>1.1376451077943617</v>
      </c>
      <c r="G49" s="14">
        <v>8</v>
      </c>
      <c r="H49" s="14">
        <v>7</v>
      </c>
      <c r="I49" s="14">
        <v>7</v>
      </c>
      <c r="J49" s="14">
        <v>7</v>
      </c>
      <c r="K49" s="7">
        <f t="shared" si="2"/>
        <v>5</v>
      </c>
      <c r="L49" s="22">
        <f t="shared" si="3"/>
        <v>1</v>
      </c>
      <c r="M49" s="22">
        <f t="shared" si="4"/>
        <v>6</v>
      </c>
      <c r="O49">
        <v>6</v>
      </c>
      <c r="P49">
        <v>29</v>
      </c>
      <c r="Q49" s="14"/>
      <c r="R49" s="27" t="s">
        <v>27</v>
      </c>
      <c r="S49" t="s">
        <v>73</v>
      </c>
      <c r="T49" t="s">
        <v>74</v>
      </c>
      <c r="U49" s="25" t="s">
        <v>73</v>
      </c>
      <c r="V49" s="25" t="s">
        <v>74</v>
      </c>
      <c r="W49" t="s">
        <v>75</v>
      </c>
      <c r="X49" t="s">
        <v>1</v>
      </c>
      <c r="Y49" s="25" t="s">
        <v>75</v>
      </c>
      <c r="Z49" s="25" t="s">
        <v>1</v>
      </c>
      <c r="AA49" t="s">
        <v>76</v>
      </c>
      <c r="AB49" t="s">
        <v>77</v>
      </c>
      <c r="AC49" t="s">
        <v>86</v>
      </c>
      <c r="AE49" s="14"/>
      <c r="AF49" s="22"/>
    </row>
    <row r="50" spans="1:32" x14ac:dyDescent="0.25">
      <c r="A50">
        <f t="shared" si="0"/>
        <v>5.3846153846153841</v>
      </c>
      <c r="B50" s="14">
        <v>8</v>
      </c>
      <c r="C50" s="14">
        <v>8</v>
      </c>
      <c r="D50" s="14">
        <v>7</v>
      </c>
      <c r="E50" s="14">
        <v>7</v>
      </c>
      <c r="F50">
        <f t="shared" si="1"/>
        <v>1.1376451077943617</v>
      </c>
      <c r="G50" s="14">
        <v>8</v>
      </c>
      <c r="H50" s="14">
        <v>8</v>
      </c>
      <c r="I50" s="14">
        <v>7</v>
      </c>
      <c r="J50" s="14">
        <v>7</v>
      </c>
      <c r="K50" s="7">
        <f t="shared" si="2"/>
        <v>5</v>
      </c>
      <c r="L50" s="22">
        <f t="shared" si="3"/>
        <v>1</v>
      </c>
      <c r="M50" s="22">
        <f t="shared" si="4"/>
        <v>6</v>
      </c>
      <c r="O50">
        <v>6</v>
      </c>
      <c r="P50">
        <v>30</v>
      </c>
      <c r="Q50" s="14"/>
      <c r="R50" s="27">
        <v>1</v>
      </c>
      <c r="S50">
        <f>$R$8-((1+$R$9)*R50)</f>
        <v>16.704433497536947</v>
      </c>
      <c r="T50">
        <f t="shared" ref="T50:T67" si="5">IF($Q$8-$Q$9*R50&gt;X50,X50,$Q$8-$Q$9*R50)</f>
        <v>8.2044334975369466</v>
      </c>
      <c r="U50" s="25">
        <f>IF(S50&gt;0,ROUND(S50,0),0)</f>
        <v>17</v>
      </c>
      <c r="V50" s="25">
        <f>IF(T50&gt;0,ROUND(T50,0),0)</f>
        <v>8</v>
      </c>
      <c r="W50">
        <f>18-R50</f>
        <v>17</v>
      </c>
      <c r="X50">
        <f>9-R50/2</f>
        <v>8.5</v>
      </c>
      <c r="Y50" s="25">
        <f>ROUND(W50,0)</f>
        <v>17</v>
      </c>
      <c r="Z50" s="25">
        <f>ROUND(X50,0)</f>
        <v>9</v>
      </c>
      <c r="AA50">
        <f>+Y50-U50</f>
        <v>0</v>
      </c>
      <c r="AB50">
        <f>+Z50-V50</f>
        <v>1</v>
      </c>
      <c r="AC50">
        <f>(U50+V50)*4</f>
        <v>100</v>
      </c>
      <c r="AE50" s="14"/>
      <c r="AF50" s="22"/>
    </row>
    <row r="51" spans="1:32" x14ac:dyDescent="0.25">
      <c r="A51">
        <f t="shared" si="0"/>
        <v>5.3846153846153841</v>
      </c>
      <c r="B51" s="14">
        <v>8</v>
      </c>
      <c r="C51" s="14">
        <v>8</v>
      </c>
      <c r="D51" s="14">
        <v>8</v>
      </c>
      <c r="E51" s="14">
        <v>7</v>
      </c>
      <c r="F51">
        <f t="shared" si="1"/>
        <v>1.1376451077943617</v>
      </c>
      <c r="G51" s="14">
        <v>8</v>
      </c>
      <c r="H51" s="14">
        <v>8</v>
      </c>
      <c r="I51" s="14">
        <v>8</v>
      </c>
      <c r="J51" s="14">
        <v>7</v>
      </c>
      <c r="K51" s="7">
        <f t="shared" si="2"/>
        <v>5</v>
      </c>
      <c r="L51" s="22">
        <f t="shared" si="3"/>
        <v>1</v>
      </c>
      <c r="M51" s="22">
        <f t="shared" si="4"/>
        <v>6</v>
      </c>
      <c r="O51">
        <v>6</v>
      </c>
      <c r="P51">
        <v>31</v>
      </c>
      <c r="Q51" s="14"/>
      <c r="R51" s="27">
        <v>2</v>
      </c>
      <c r="S51">
        <f t="shared" ref="S51:S67" si="6">$R$8-((1+$R$9)*R51)</f>
        <v>14.7192118226601</v>
      </c>
      <c r="T51">
        <f t="shared" si="5"/>
        <v>6.7192118226600988</v>
      </c>
      <c r="U51" s="25">
        <f t="shared" ref="U51:U67" si="7">IF(S51&gt;0,ROUND(S51,0),0)</f>
        <v>15</v>
      </c>
      <c r="V51" s="25">
        <f t="shared" ref="V51:V67" si="8">IF(T51&gt;0,ROUND(T51,0),0)</f>
        <v>7</v>
      </c>
      <c r="W51">
        <f t="shared" ref="W51:W67" si="9">18-R51</f>
        <v>16</v>
      </c>
      <c r="X51">
        <f t="shared" ref="X51:X67" si="10">9-R51/2</f>
        <v>8</v>
      </c>
      <c r="Y51" s="25">
        <f t="shared" ref="Y51:Y67" si="11">ROUND(W51,0)</f>
        <v>16</v>
      </c>
      <c r="Z51" s="25">
        <f t="shared" ref="Z51:Z67" si="12">ROUND(X51,0)</f>
        <v>8</v>
      </c>
      <c r="AA51">
        <f t="shared" ref="AA51:AA67" si="13">+Y51-U51</f>
        <v>1</v>
      </c>
      <c r="AB51">
        <f t="shared" ref="AB51:AB67" si="14">+Z51-V51</f>
        <v>1</v>
      </c>
      <c r="AC51">
        <f t="shared" ref="AC51:AC54" si="15">(U51+V51)*4</f>
        <v>88</v>
      </c>
      <c r="AE51" s="14"/>
      <c r="AF51" s="22"/>
    </row>
    <row r="52" spans="1:32" x14ac:dyDescent="0.25">
      <c r="A52">
        <f t="shared" si="0"/>
        <v>5.3846153846153841</v>
      </c>
      <c r="B52" s="14">
        <v>8</v>
      </c>
      <c r="C52" s="14">
        <v>8</v>
      </c>
      <c r="D52" s="14">
        <v>8</v>
      </c>
      <c r="E52" s="14">
        <v>8</v>
      </c>
      <c r="F52">
        <f t="shared" si="1"/>
        <v>1.1376451077943617</v>
      </c>
      <c r="G52" s="14">
        <v>8</v>
      </c>
      <c r="H52" s="14">
        <v>8</v>
      </c>
      <c r="I52" s="14">
        <v>8</v>
      </c>
      <c r="J52" s="14">
        <v>8</v>
      </c>
      <c r="K52" s="7">
        <f t="shared" si="2"/>
        <v>5</v>
      </c>
      <c r="L52" s="22">
        <f t="shared" si="3"/>
        <v>1</v>
      </c>
      <c r="M52" s="22">
        <f t="shared" si="4"/>
        <v>6</v>
      </c>
      <c r="O52">
        <v>6</v>
      </c>
      <c r="P52">
        <v>32</v>
      </c>
      <c r="Q52" s="14"/>
      <c r="R52" s="27">
        <v>3</v>
      </c>
      <c r="S52">
        <f t="shared" si="6"/>
        <v>12.733990147783251</v>
      </c>
      <c r="T52">
        <f t="shared" si="5"/>
        <v>5.2339901477832509</v>
      </c>
      <c r="U52" s="25">
        <f t="shared" si="7"/>
        <v>13</v>
      </c>
      <c r="V52" s="25">
        <f t="shared" si="8"/>
        <v>5</v>
      </c>
      <c r="W52">
        <f t="shared" si="9"/>
        <v>15</v>
      </c>
      <c r="X52">
        <f t="shared" si="10"/>
        <v>7.5</v>
      </c>
      <c r="Y52" s="25">
        <f t="shared" si="11"/>
        <v>15</v>
      </c>
      <c r="Z52" s="25">
        <f t="shared" si="12"/>
        <v>8</v>
      </c>
      <c r="AA52">
        <f t="shared" si="13"/>
        <v>2</v>
      </c>
      <c r="AB52">
        <f t="shared" si="14"/>
        <v>3</v>
      </c>
      <c r="AC52">
        <f t="shared" si="15"/>
        <v>72</v>
      </c>
      <c r="AE52" s="14"/>
      <c r="AF52" s="22"/>
    </row>
    <row r="53" spans="1:32" x14ac:dyDescent="0.25">
      <c r="A53">
        <f t="shared" ref="A53:A80" si="16">($R$8-B53)/($R$9+1)</f>
        <v>4.8808933002481387</v>
      </c>
      <c r="B53" s="14">
        <v>9</v>
      </c>
      <c r="C53" s="14">
        <v>8</v>
      </c>
      <c r="D53" s="14">
        <v>8</v>
      </c>
      <c r="E53" s="14">
        <v>8</v>
      </c>
      <c r="F53">
        <f t="shared" ref="F53:F80" si="17">IF(($Q$8-G53)/$Q$9&gt;0,($Q$8-G53)/$Q$9,0)</f>
        <v>0.46434494195688253</v>
      </c>
      <c r="G53" s="14">
        <v>9</v>
      </c>
      <c r="H53" s="14">
        <v>8</v>
      </c>
      <c r="I53" s="14">
        <v>8</v>
      </c>
      <c r="J53" s="14">
        <v>8</v>
      </c>
      <c r="K53" s="7">
        <f t="shared" ref="K53:K80" si="18">ROUND(A53,0)</f>
        <v>5</v>
      </c>
      <c r="L53" s="22">
        <f t="shared" ref="L53:L80" si="19">ROUND(F53,0)</f>
        <v>0</v>
      </c>
      <c r="M53" s="22">
        <f t="shared" ref="M53:M80" si="20">MAX(N53,O53)</f>
        <v>5</v>
      </c>
      <c r="O53">
        <v>5</v>
      </c>
      <c r="P53">
        <v>33</v>
      </c>
      <c r="Q53" s="14"/>
      <c r="R53" s="29">
        <v>4</v>
      </c>
      <c r="S53">
        <f t="shared" si="6"/>
        <v>10.748768472906404</v>
      </c>
      <c r="T53">
        <f t="shared" si="5"/>
        <v>3.7487684729064039</v>
      </c>
      <c r="U53" s="30">
        <f t="shared" si="7"/>
        <v>11</v>
      </c>
      <c r="V53" s="30">
        <f t="shared" si="8"/>
        <v>4</v>
      </c>
      <c r="W53">
        <f t="shared" si="9"/>
        <v>14</v>
      </c>
      <c r="X53">
        <f t="shared" si="10"/>
        <v>7</v>
      </c>
      <c r="Y53" s="30">
        <f t="shared" si="11"/>
        <v>14</v>
      </c>
      <c r="Z53" s="30">
        <f t="shared" si="12"/>
        <v>7</v>
      </c>
      <c r="AA53" s="31">
        <f t="shared" si="13"/>
        <v>3</v>
      </c>
      <c r="AB53" s="31">
        <f t="shared" si="14"/>
        <v>3</v>
      </c>
      <c r="AC53" s="31">
        <f t="shared" si="15"/>
        <v>60</v>
      </c>
      <c r="AD53" t="s">
        <v>87</v>
      </c>
      <c r="AE53" s="14"/>
      <c r="AF53" s="22"/>
    </row>
    <row r="54" spans="1:32" x14ac:dyDescent="0.25">
      <c r="A54">
        <f t="shared" si="16"/>
        <v>4.8808933002481387</v>
      </c>
      <c r="B54" s="14">
        <v>9</v>
      </c>
      <c r="C54" s="14">
        <v>9</v>
      </c>
      <c r="D54" s="14">
        <v>8</v>
      </c>
      <c r="E54" s="14">
        <v>8</v>
      </c>
      <c r="F54">
        <f t="shared" si="17"/>
        <v>0.46434494195688253</v>
      </c>
      <c r="G54" s="14">
        <v>9</v>
      </c>
      <c r="H54" s="14">
        <v>9</v>
      </c>
      <c r="I54" s="14">
        <v>8</v>
      </c>
      <c r="J54" s="14">
        <v>8</v>
      </c>
      <c r="K54" s="7">
        <f t="shared" si="18"/>
        <v>5</v>
      </c>
      <c r="L54" s="22">
        <f t="shared" si="19"/>
        <v>0</v>
      </c>
      <c r="M54" s="22">
        <f t="shared" si="20"/>
        <v>5</v>
      </c>
      <c r="O54">
        <v>5</v>
      </c>
      <c r="P54">
        <v>34</v>
      </c>
      <c r="Q54" s="14"/>
      <c r="R54" s="27">
        <v>5</v>
      </c>
      <c r="S54">
        <f t="shared" si="6"/>
        <v>8.7635467980295569</v>
      </c>
      <c r="T54">
        <f t="shared" si="5"/>
        <v>2.2635467980295569</v>
      </c>
      <c r="U54" s="25">
        <f t="shared" si="7"/>
        <v>9</v>
      </c>
      <c r="V54" s="25">
        <f t="shared" si="8"/>
        <v>2</v>
      </c>
      <c r="W54">
        <f t="shared" si="9"/>
        <v>13</v>
      </c>
      <c r="X54">
        <f t="shared" si="10"/>
        <v>6.5</v>
      </c>
      <c r="Y54" s="25">
        <f t="shared" si="11"/>
        <v>13</v>
      </c>
      <c r="Z54" s="25">
        <f t="shared" si="12"/>
        <v>7</v>
      </c>
      <c r="AA54">
        <f t="shared" si="13"/>
        <v>4</v>
      </c>
      <c r="AB54">
        <f t="shared" si="14"/>
        <v>5</v>
      </c>
      <c r="AC54">
        <f t="shared" si="15"/>
        <v>44</v>
      </c>
      <c r="AE54" s="14"/>
      <c r="AF54" s="22"/>
    </row>
    <row r="55" spans="1:32" x14ac:dyDescent="0.25">
      <c r="A55">
        <f t="shared" si="16"/>
        <v>4.8808933002481387</v>
      </c>
      <c r="B55" s="14">
        <v>9</v>
      </c>
      <c r="C55" s="14">
        <v>9</v>
      </c>
      <c r="D55" s="14">
        <v>9</v>
      </c>
      <c r="E55" s="14">
        <v>8</v>
      </c>
      <c r="F55">
        <f t="shared" si="17"/>
        <v>0.46434494195688253</v>
      </c>
      <c r="G55" s="14">
        <v>9</v>
      </c>
      <c r="H55" s="14">
        <v>9</v>
      </c>
      <c r="I55" s="14">
        <v>9</v>
      </c>
      <c r="J55" s="14">
        <v>8</v>
      </c>
      <c r="K55" s="7">
        <f t="shared" si="18"/>
        <v>5</v>
      </c>
      <c r="L55" s="22">
        <f t="shared" si="19"/>
        <v>0</v>
      </c>
      <c r="M55" s="22">
        <f t="shared" si="20"/>
        <v>5</v>
      </c>
      <c r="O55">
        <v>5</v>
      </c>
      <c r="P55">
        <v>35</v>
      </c>
      <c r="Q55" s="14"/>
      <c r="R55" s="28">
        <v>6</v>
      </c>
      <c r="S55" s="24">
        <f t="shared" si="6"/>
        <v>6.7783251231527082</v>
      </c>
      <c r="T55">
        <f t="shared" si="5"/>
        <v>0.77832512315270819</v>
      </c>
      <c r="U55" s="26">
        <f t="shared" si="7"/>
        <v>7</v>
      </c>
      <c r="V55" s="26">
        <f t="shared" si="8"/>
        <v>1</v>
      </c>
      <c r="W55">
        <f t="shared" si="9"/>
        <v>12</v>
      </c>
      <c r="X55">
        <f t="shared" si="10"/>
        <v>6</v>
      </c>
      <c r="Y55" s="26">
        <f t="shared" si="11"/>
        <v>12</v>
      </c>
      <c r="Z55" s="26">
        <f t="shared" si="12"/>
        <v>6</v>
      </c>
      <c r="AA55" s="5">
        <f t="shared" si="13"/>
        <v>5</v>
      </c>
      <c r="AB55" s="5">
        <f t="shared" si="14"/>
        <v>5</v>
      </c>
      <c r="AC55" s="5">
        <f>(U55+V55)*4</f>
        <v>32</v>
      </c>
      <c r="AD55" t="s">
        <v>88</v>
      </c>
      <c r="AE55" s="14"/>
      <c r="AF55" s="22"/>
    </row>
    <row r="56" spans="1:32" x14ac:dyDescent="0.25">
      <c r="A56">
        <f t="shared" si="16"/>
        <v>4.8808933002481387</v>
      </c>
      <c r="B56" s="14">
        <v>9</v>
      </c>
      <c r="C56" s="14">
        <v>9</v>
      </c>
      <c r="D56" s="14">
        <v>9</v>
      </c>
      <c r="E56" s="14">
        <v>9</v>
      </c>
      <c r="F56">
        <f t="shared" si="17"/>
        <v>0.46434494195688253</v>
      </c>
      <c r="G56" s="14">
        <v>9</v>
      </c>
      <c r="H56" s="14">
        <v>9</v>
      </c>
      <c r="I56" s="14">
        <v>9</v>
      </c>
      <c r="J56" s="14">
        <v>9</v>
      </c>
      <c r="K56" s="7">
        <f t="shared" si="18"/>
        <v>5</v>
      </c>
      <c r="L56" s="22">
        <f t="shared" si="19"/>
        <v>0</v>
      </c>
      <c r="M56" s="22">
        <f t="shared" si="20"/>
        <v>5</v>
      </c>
      <c r="O56">
        <v>5</v>
      </c>
      <c r="P56">
        <v>36</v>
      </c>
      <c r="Q56" s="14"/>
      <c r="R56" s="27">
        <v>7</v>
      </c>
      <c r="S56">
        <f t="shared" si="6"/>
        <v>4.7931034482758612</v>
      </c>
      <c r="T56">
        <f t="shared" si="5"/>
        <v>-0.70689655172413879</v>
      </c>
      <c r="U56" s="25">
        <f t="shared" si="7"/>
        <v>5</v>
      </c>
      <c r="V56" s="25">
        <f t="shared" si="8"/>
        <v>0</v>
      </c>
      <c r="W56">
        <f t="shared" si="9"/>
        <v>11</v>
      </c>
      <c r="X56">
        <f t="shared" si="10"/>
        <v>5.5</v>
      </c>
      <c r="Y56" s="25">
        <f t="shared" si="11"/>
        <v>11</v>
      </c>
      <c r="Z56" s="25">
        <f t="shared" si="12"/>
        <v>6</v>
      </c>
      <c r="AA56">
        <f t="shared" si="13"/>
        <v>6</v>
      </c>
      <c r="AB56">
        <f t="shared" si="14"/>
        <v>6</v>
      </c>
      <c r="AE56" s="14"/>
      <c r="AF56" s="22"/>
    </row>
    <row r="57" spans="1:32" x14ac:dyDescent="0.25">
      <c r="A57">
        <f t="shared" si="16"/>
        <v>4.3771712158808933</v>
      </c>
      <c r="B57" s="14">
        <v>10</v>
      </c>
      <c r="C57" s="14">
        <v>9</v>
      </c>
      <c r="D57" s="14">
        <v>9</v>
      </c>
      <c r="E57" s="14">
        <v>9</v>
      </c>
      <c r="F57">
        <f t="shared" si="17"/>
        <v>0</v>
      </c>
      <c r="G57" s="14">
        <v>10</v>
      </c>
      <c r="H57" s="14">
        <v>9</v>
      </c>
      <c r="I57" s="14">
        <v>9</v>
      </c>
      <c r="J57" s="14">
        <v>9</v>
      </c>
      <c r="K57" s="7">
        <f t="shared" si="18"/>
        <v>4</v>
      </c>
      <c r="L57" s="22">
        <f t="shared" si="19"/>
        <v>0</v>
      </c>
      <c r="M57" s="22">
        <f t="shared" si="20"/>
        <v>5</v>
      </c>
      <c r="O57">
        <v>5</v>
      </c>
      <c r="P57">
        <v>37</v>
      </c>
      <c r="Q57" s="14"/>
      <c r="R57" s="27">
        <v>8</v>
      </c>
      <c r="S57">
        <f t="shared" si="6"/>
        <v>2.8078817733990142</v>
      </c>
      <c r="T57">
        <f t="shared" si="5"/>
        <v>-2.1921182266009858</v>
      </c>
      <c r="U57" s="25">
        <f t="shared" si="7"/>
        <v>3</v>
      </c>
      <c r="V57" s="25">
        <f t="shared" si="8"/>
        <v>0</v>
      </c>
      <c r="W57">
        <f t="shared" si="9"/>
        <v>10</v>
      </c>
      <c r="X57">
        <f t="shared" si="10"/>
        <v>5</v>
      </c>
      <c r="Y57" s="25">
        <f t="shared" si="11"/>
        <v>10</v>
      </c>
      <c r="Z57" s="25">
        <f t="shared" si="12"/>
        <v>5</v>
      </c>
      <c r="AA57">
        <f t="shared" si="13"/>
        <v>7</v>
      </c>
      <c r="AB57">
        <f t="shared" si="14"/>
        <v>5</v>
      </c>
      <c r="AE57" s="1"/>
      <c r="AF57" s="22"/>
    </row>
    <row r="58" spans="1:32" x14ac:dyDescent="0.25">
      <c r="A58">
        <f t="shared" si="16"/>
        <v>4.3771712158808933</v>
      </c>
      <c r="B58" s="14">
        <v>10</v>
      </c>
      <c r="C58" s="14">
        <v>10</v>
      </c>
      <c r="D58" s="14">
        <v>9</v>
      </c>
      <c r="E58" s="14">
        <v>9</v>
      </c>
      <c r="F58">
        <f t="shared" si="17"/>
        <v>0</v>
      </c>
      <c r="G58" s="14">
        <v>10</v>
      </c>
      <c r="H58" s="14">
        <v>10</v>
      </c>
      <c r="I58" s="14">
        <v>9</v>
      </c>
      <c r="J58" s="14">
        <v>9</v>
      </c>
      <c r="K58" s="7">
        <f t="shared" si="18"/>
        <v>4</v>
      </c>
      <c r="L58" s="22">
        <f t="shared" si="19"/>
        <v>0</v>
      </c>
      <c r="M58" s="22">
        <f t="shared" si="20"/>
        <v>5</v>
      </c>
      <c r="O58">
        <v>5</v>
      </c>
      <c r="P58">
        <v>38</v>
      </c>
      <c r="Q58" s="14"/>
      <c r="R58" s="27">
        <v>9</v>
      </c>
      <c r="S58">
        <f t="shared" si="6"/>
        <v>0.82266009852216726</v>
      </c>
      <c r="T58">
        <f t="shared" si="5"/>
        <v>-3.6773399014778327</v>
      </c>
      <c r="U58" s="25">
        <f t="shared" si="7"/>
        <v>1</v>
      </c>
      <c r="V58" s="25">
        <f t="shared" si="8"/>
        <v>0</v>
      </c>
      <c r="W58">
        <f t="shared" si="9"/>
        <v>9</v>
      </c>
      <c r="X58">
        <f t="shared" si="10"/>
        <v>4.5</v>
      </c>
      <c r="Y58" s="25">
        <f t="shared" si="11"/>
        <v>9</v>
      </c>
      <c r="Z58" s="25">
        <f t="shared" si="12"/>
        <v>5</v>
      </c>
      <c r="AA58">
        <f t="shared" si="13"/>
        <v>8</v>
      </c>
      <c r="AB58">
        <f t="shared" si="14"/>
        <v>5</v>
      </c>
      <c r="AF58" s="22"/>
    </row>
    <row r="59" spans="1:32" x14ac:dyDescent="0.25">
      <c r="A59">
        <f t="shared" si="16"/>
        <v>4.3771712158808933</v>
      </c>
      <c r="B59" s="14">
        <v>10</v>
      </c>
      <c r="C59" s="14">
        <v>10</v>
      </c>
      <c r="D59" s="14">
        <v>10</v>
      </c>
      <c r="E59" s="14">
        <v>9</v>
      </c>
      <c r="F59">
        <f t="shared" si="17"/>
        <v>0</v>
      </c>
      <c r="G59" s="14">
        <v>10</v>
      </c>
      <c r="H59" s="14">
        <v>10</v>
      </c>
      <c r="I59" s="14">
        <v>10</v>
      </c>
      <c r="J59" s="14">
        <v>9</v>
      </c>
      <c r="K59" s="7">
        <f t="shared" si="18"/>
        <v>4</v>
      </c>
      <c r="L59" s="22">
        <f t="shared" si="19"/>
        <v>0</v>
      </c>
      <c r="M59" s="22">
        <f t="shared" si="20"/>
        <v>5</v>
      </c>
      <c r="O59">
        <v>5</v>
      </c>
      <c r="P59">
        <v>39</v>
      </c>
      <c r="Q59" s="14"/>
      <c r="R59" s="27">
        <v>10</v>
      </c>
      <c r="S59">
        <f t="shared" si="6"/>
        <v>-1.1625615763546797</v>
      </c>
      <c r="T59">
        <f t="shared" si="5"/>
        <v>-5.1625615763546797</v>
      </c>
      <c r="U59" s="25">
        <f t="shared" si="7"/>
        <v>0</v>
      </c>
      <c r="V59" s="25">
        <f t="shared" si="8"/>
        <v>0</v>
      </c>
      <c r="W59">
        <f t="shared" si="9"/>
        <v>8</v>
      </c>
      <c r="X59">
        <f t="shared" si="10"/>
        <v>4</v>
      </c>
      <c r="Y59" s="25">
        <f t="shared" si="11"/>
        <v>8</v>
      </c>
      <c r="Z59" s="25">
        <f t="shared" si="12"/>
        <v>4</v>
      </c>
      <c r="AA59">
        <f t="shared" si="13"/>
        <v>8</v>
      </c>
      <c r="AB59">
        <f t="shared" si="14"/>
        <v>4</v>
      </c>
      <c r="AF59" s="22"/>
    </row>
    <row r="60" spans="1:32" x14ac:dyDescent="0.25">
      <c r="A60">
        <f t="shared" si="16"/>
        <v>4.3771712158808933</v>
      </c>
      <c r="B60" s="14">
        <v>10</v>
      </c>
      <c r="C60" s="14">
        <v>10</v>
      </c>
      <c r="D60" s="14">
        <v>10</v>
      </c>
      <c r="E60" s="14">
        <v>10</v>
      </c>
      <c r="F60">
        <f t="shared" si="17"/>
        <v>0</v>
      </c>
      <c r="G60" s="14">
        <v>10</v>
      </c>
      <c r="H60" s="14">
        <v>10</v>
      </c>
      <c r="I60" s="14">
        <v>10</v>
      </c>
      <c r="J60" s="14">
        <v>10</v>
      </c>
      <c r="K60" s="7">
        <f t="shared" si="18"/>
        <v>4</v>
      </c>
      <c r="L60" s="22">
        <f t="shared" si="19"/>
        <v>0</v>
      </c>
      <c r="M60" s="22">
        <f t="shared" si="20"/>
        <v>5</v>
      </c>
      <c r="O60">
        <v>5</v>
      </c>
      <c r="P60">
        <v>40</v>
      </c>
      <c r="Q60" s="14"/>
      <c r="R60" s="27">
        <v>11</v>
      </c>
      <c r="S60">
        <f t="shared" si="6"/>
        <v>-3.1477832512315267</v>
      </c>
      <c r="T60">
        <f t="shared" si="5"/>
        <v>-6.6477832512315267</v>
      </c>
      <c r="U60" s="25">
        <f t="shared" si="7"/>
        <v>0</v>
      </c>
      <c r="V60" s="25">
        <f t="shared" si="8"/>
        <v>0</v>
      </c>
      <c r="W60">
        <f t="shared" si="9"/>
        <v>7</v>
      </c>
      <c r="X60">
        <f t="shared" si="10"/>
        <v>3.5</v>
      </c>
      <c r="Y60" s="25">
        <f t="shared" si="11"/>
        <v>7</v>
      </c>
      <c r="Z60" s="25">
        <f t="shared" si="12"/>
        <v>4</v>
      </c>
      <c r="AA60">
        <f t="shared" si="13"/>
        <v>7</v>
      </c>
      <c r="AB60">
        <f t="shared" si="14"/>
        <v>4</v>
      </c>
      <c r="AF60" s="22"/>
    </row>
    <row r="61" spans="1:32" x14ac:dyDescent="0.25">
      <c r="A61">
        <f t="shared" si="16"/>
        <v>3.8734491315136474</v>
      </c>
      <c r="B61" s="14">
        <v>11</v>
      </c>
      <c r="C61" s="14">
        <v>10</v>
      </c>
      <c r="D61" s="14">
        <v>10</v>
      </c>
      <c r="E61" s="14">
        <v>10</v>
      </c>
      <c r="F61">
        <f t="shared" si="17"/>
        <v>0</v>
      </c>
      <c r="G61" s="14">
        <v>11</v>
      </c>
      <c r="H61" s="14">
        <v>10</v>
      </c>
      <c r="I61" s="14">
        <v>10</v>
      </c>
      <c r="J61" s="14">
        <v>10</v>
      </c>
      <c r="K61" s="7">
        <f t="shared" si="18"/>
        <v>4</v>
      </c>
      <c r="L61" s="22">
        <f t="shared" si="19"/>
        <v>0</v>
      </c>
      <c r="M61" s="22">
        <f t="shared" si="20"/>
        <v>5</v>
      </c>
      <c r="N61">
        <v>5</v>
      </c>
      <c r="P61">
        <v>41</v>
      </c>
      <c r="Q61" s="14"/>
      <c r="R61" s="27">
        <v>12</v>
      </c>
      <c r="S61">
        <f t="shared" si="6"/>
        <v>-5.1330049261083772</v>
      </c>
      <c r="T61">
        <f t="shared" si="5"/>
        <v>-8.1330049261083772</v>
      </c>
      <c r="U61" s="25">
        <f t="shared" si="7"/>
        <v>0</v>
      </c>
      <c r="V61" s="25">
        <f t="shared" si="8"/>
        <v>0</v>
      </c>
      <c r="W61">
        <f t="shared" si="9"/>
        <v>6</v>
      </c>
      <c r="X61">
        <f t="shared" si="10"/>
        <v>3</v>
      </c>
      <c r="Y61" s="25">
        <f t="shared" si="11"/>
        <v>6</v>
      </c>
      <c r="Z61" s="25">
        <f t="shared" si="12"/>
        <v>3</v>
      </c>
      <c r="AA61">
        <f t="shared" si="13"/>
        <v>6</v>
      </c>
      <c r="AB61">
        <f t="shared" si="14"/>
        <v>3</v>
      </c>
      <c r="AF61" s="22"/>
    </row>
    <row r="62" spans="1:32" x14ac:dyDescent="0.25">
      <c r="A62">
        <f t="shared" si="16"/>
        <v>3.8734491315136474</v>
      </c>
      <c r="B62" s="14">
        <v>11</v>
      </c>
      <c r="C62" s="14">
        <v>11</v>
      </c>
      <c r="D62" s="14">
        <v>10</v>
      </c>
      <c r="E62" s="14">
        <v>10</v>
      </c>
      <c r="F62">
        <f t="shared" si="17"/>
        <v>0</v>
      </c>
      <c r="G62" s="14">
        <v>11</v>
      </c>
      <c r="H62" s="14">
        <v>11</v>
      </c>
      <c r="I62" s="14">
        <v>10</v>
      </c>
      <c r="J62" s="14">
        <v>10</v>
      </c>
      <c r="K62" s="7">
        <f t="shared" si="18"/>
        <v>4</v>
      </c>
      <c r="L62" s="22">
        <f t="shared" si="19"/>
        <v>0</v>
      </c>
      <c r="M62" s="22">
        <f t="shared" si="20"/>
        <v>5</v>
      </c>
      <c r="N62">
        <v>5</v>
      </c>
      <c r="P62">
        <v>42</v>
      </c>
      <c r="Q62" s="14"/>
      <c r="R62" s="27">
        <v>13</v>
      </c>
      <c r="S62">
        <f t="shared" si="6"/>
        <v>-7.1182266009852242</v>
      </c>
      <c r="T62">
        <f t="shared" si="5"/>
        <v>-9.6182266009852242</v>
      </c>
      <c r="U62" s="25">
        <f t="shared" si="7"/>
        <v>0</v>
      </c>
      <c r="V62" s="25">
        <f t="shared" si="8"/>
        <v>0</v>
      </c>
      <c r="W62">
        <f t="shared" si="9"/>
        <v>5</v>
      </c>
      <c r="X62">
        <f t="shared" si="10"/>
        <v>2.5</v>
      </c>
      <c r="Y62" s="25">
        <f t="shared" si="11"/>
        <v>5</v>
      </c>
      <c r="Z62" s="25">
        <f t="shared" si="12"/>
        <v>3</v>
      </c>
      <c r="AA62">
        <f t="shared" si="13"/>
        <v>5</v>
      </c>
      <c r="AB62">
        <f t="shared" si="14"/>
        <v>3</v>
      </c>
      <c r="AD62">
        <f>$R$8-(3+$R$9)*R51</f>
        <v>10.7192118226601</v>
      </c>
      <c r="AF62" s="22"/>
    </row>
    <row r="63" spans="1:32" x14ac:dyDescent="0.25">
      <c r="A63">
        <f t="shared" si="16"/>
        <v>3.8734491315136474</v>
      </c>
      <c r="B63" s="14">
        <v>11</v>
      </c>
      <c r="C63" s="14">
        <v>11</v>
      </c>
      <c r="D63" s="14">
        <v>11</v>
      </c>
      <c r="E63" s="14">
        <v>10</v>
      </c>
      <c r="F63">
        <f t="shared" si="17"/>
        <v>0</v>
      </c>
      <c r="G63" s="14">
        <v>11</v>
      </c>
      <c r="H63" s="14">
        <v>11</v>
      </c>
      <c r="I63" s="14">
        <v>11</v>
      </c>
      <c r="J63" s="14">
        <v>10</v>
      </c>
      <c r="K63" s="7">
        <f t="shared" si="18"/>
        <v>4</v>
      </c>
      <c r="L63" s="22">
        <f t="shared" si="19"/>
        <v>0</v>
      </c>
      <c r="M63" s="22">
        <f t="shared" si="20"/>
        <v>5</v>
      </c>
      <c r="N63">
        <v>5</v>
      </c>
      <c r="P63">
        <v>43</v>
      </c>
      <c r="Q63" s="14"/>
      <c r="R63" s="27">
        <v>14</v>
      </c>
      <c r="S63">
        <f t="shared" si="6"/>
        <v>-9.1034482758620712</v>
      </c>
      <c r="T63">
        <f t="shared" si="5"/>
        <v>-11.103448275862071</v>
      </c>
      <c r="U63" s="25">
        <f t="shared" si="7"/>
        <v>0</v>
      </c>
      <c r="V63" s="25">
        <f t="shared" si="8"/>
        <v>0</v>
      </c>
      <c r="W63">
        <f t="shared" si="9"/>
        <v>4</v>
      </c>
      <c r="X63">
        <f t="shared" si="10"/>
        <v>2</v>
      </c>
      <c r="Y63" s="25">
        <f t="shared" si="11"/>
        <v>4</v>
      </c>
      <c r="Z63" s="25">
        <f t="shared" si="12"/>
        <v>2</v>
      </c>
      <c r="AA63">
        <f t="shared" si="13"/>
        <v>4</v>
      </c>
      <c r="AB63">
        <f t="shared" si="14"/>
        <v>2</v>
      </c>
      <c r="AF63" s="22"/>
    </row>
    <row r="64" spans="1:32" x14ac:dyDescent="0.25">
      <c r="A64">
        <f t="shared" si="16"/>
        <v>3.8734491315136474</v>
      </c>
      <c r="B64" s="14">
        <v>11</v>
      </c>
      <c r="C64" s="14">
        <v>11</v>
      </c>
      <c r="D64" s="14">
        <v>11</v>
      </c>
      <c r="E64" s="14">
        <v>11</v>
      </c>
      <c r="F64">
        <f t="shared" si="17"/>
        <v>0</v>
      </c>
      <c r="G64" s="14">
        <v>11</v>
      </c>
      <c r="H64" s="14">
        <v>11</v>
      </c>
      <c r="I64" s="14">
        <v>11</v>
      </c>
      <c r="J64" s="14">
        <v>11</v>
      </c>
      <c r="K64" s="7">
        <f t="shared" si="18"/>
        <v>4</v>
      </c>
      <c r="L64" s="22">
        <f t="shared" si="19"/>
        <v>0</v>
      </c>
      <c r="M64" s="22">
        <f t="shared" si="20"/>
        <v>5</v>
      </c>
      <c r="N64">
        <v>5</v>
      </c>
      <c r="P64">
        <v>44</v>
      </c>
      <c r="Q64" s="14"/>
      <c r="R64" s="27">
        <v>15</v>
      </c>
      <c r="S64">
        <f t="shared" si="6"/>
        <v>-11.088669950738918</v>
      </c>
      <c r="T64">
        <f t="shared" si="5"/>
        <v>-12.588669950738918</v>
      </c>
      <c r="U64" s="25">
        <f t="shared" si="7"/>
        <v>0</v>
      </c>
      <c r="V64" s="25">
        <f t="shared" si="8"/>
        <v>0</v>
      </c>
      <c r="W64">
        <f t="shared" si="9"/>
        <v>3</v>
      </c>
      <c r="X64">
        <f t="shared" si="10"/>
        <v>1.5</v>
      </c>
      <c r="Y64" s="25">
        <f t="shared" si="11"/>
        <v>3</v>
      </c>
      <c r="Z64" s="25">
        <f t="shared" si="12"/>
        <v>2</v>
      </c>
      <c r="AA64">
        <f t="shared" si="13"/>
        <v>3</v>
      </c>
      <c r="AB64">
        <f t="shared" si="14"/>
        <v>2</v>
      </c>
      <c r="AF64" s="22"/>
    </row>
    <row r="65" spans="1:32" x14ac:dyDescent="0.25">
      <c r="A65">
        <f t="shared" si="16"/>
        <v>3.369727047146402</v>
      </c>
      <c r="B65" s="14">
        <v>12</v>
      </c>
      <c r="C65" s="14">
        <v>11</v>
      </c>
      <c r="D65" s="14">
        <v>11</v>
      </c>
      <c r="E65" s="14">
        <v>11</v>
      </c>
      <c r="F65">
        <f t="shared" si="17"/>
        <v>0</v>
      </c>
      <c r="G65" s="14">
        <v>12</v>
      </c>
      <c r="H65" s="14">
        <v>11</v>
      </c>
      <c r="I65" s="14">
        <v>11</v>
      </c>
      <c r="J65" s="14">
        <v>11</v>
      </c>
      <c r="K65" s="7">
        <f t="shared" si="18"/>
        <v>3</v>
      </c>
      <c r="L65" s="22">
        <f t="shared" si="19"/>
        <v>0</v>
      </c>
      <c r="M65" s="22">
        <f t="shared" si="20"/>
        <v>5</v>
      </c>
      <c r="N65">
        <v>5</v>
      </c>
      <c r="P65">
        <v>45</v>
      </c>
      <c r="Q65" s="14"/>
      <c r="R65" s="27">
        <v>16</v>
      </c>
      <c r="S65">
        <f t="shared" si="6"/>
        <v>-13.073891625615765</v>
      </c>
      <c r="T65">
        <f t="shared" si="5"/>
        <v>-14.073891625615765</v>
      </c>
      <c r="U65" s="25">
        <f t="shared" si="7"/>
        <v>0</v>
      </c>
      <c r="V65" s="25">
        <f t="shared" si="8"/>
        <v>0</v>
      </c>
      <c r="W65">
        <f t="shared" si="9"/>
        <v>2</v>
      </c>
      <c r="X65">
        <f t="shared" si="10"/>
        <v>1</v>
      </c>
      <c r="Y65" s="25">
        <f t="shared" si="11"/>
        <v>2</v>
      </c>
      <c r="Z65" s="25">
        <f t="shared" si="12"/>
        <v>1</v>
      </c>
      <c r="AA65">
        <f t="shared" si="13"/>
        <v>2</v>
      </c>
      <c r="AB65">
        <f t="shared" si="14"/>
        <v>1</v>
      </c>
      <c r="AF65" s="22"/>
    </row>
    <row r="66" spans="1:32" x14ac:dyDescent="0.25">
      <c r="A66">
        <f t="shared" si="16"/>
        <v>3.369727047146402</v>
      </c>
      <c r="B66" s="14">
        <v>12</v>
      </c>
      <c r="C66" s="14">
        <v>12</v>
      </c>
      <c r="D66" s="14">
        <v>11</v>
      </c>
      <c r="E66" s="14">
        <v>11</v>
      </c>
      <c r="F66">
        <f t="shared" si="17"/>
        <v>0</v>
      </c>
      <c r="G66" s="14">
        <v>12</v>
      </c>
      <c r="H66" s="14">
        <v>12</v>
      </c>
      <c r="I66" s="14">
        <v>11</v>
      </c>
      <c r="J66" s="14">
        <v>11</v>
      </c>
      <c r="K66" s="7">
        <f t="shared" si="18"/>
        <v>3</v>
      </c>
      <c r="L66" s="22">
        <f t="shared" si="19"/>
        <v>0</v>
      </c>
      <c r="M66" s="22">
        <f t="shared" si="20"/>
        <v>5</v>
      </c>
      <c r="N66">
        <v>5</v>
      </c>
      <c r="P66">
        <v>46</v>
      </c>
      <c r="Q66" s="14"/>
      <c r="R66" s="27">
        <v>17</v>
      </c>
      <c r="S66">
        <f t="shared" si="6"/>
        <v>-15.059113300492612</v>
      </c>
      <c r="T66">
        <f t="shared" si="5"/>
        <v>-15.559113300492612</v>
      </c>
      <c r="U66" s="25">
        <f t="shared" si="7"/>
        <v>0</v>
      </c>
      <c r="V66" s="25">
        <f t="shared" si="8"/>
        <v>0</v>
      </c>
      <c r="W66">
        <f t="shared" si="9"/>
        <v>1</v>
      </c>
      <c r="X66">
        <f t="shared" si="10"/>
        <v>0.5</v>
      </c>
      <c r="Y66" s="25">
        <f t="shared" si="11"/>
        <v>1</v>
      </c>
      <c r="Z66" s="25">
        <f t="shared" si="12"/>
        <v>1</v>
      </c>
      <c r="AA66">
        <f t="shared" si="13"/>
        <v>1</v>
      </c>
      <c r="AB66">
        <f t="shared" si="14"/>
        <v>1</v>
      </c>
      <c r="AF66" s="22"/>
    </row>
    <row r="67" spans="1:32" x14ac:dyDescent="0.25">
      <c r="A67">
        <f t="shared" si="16"/>
        <v>3.369727047146402</v>
      </c>
      <c r="B67" s="14">
        <v>12</v>
      </c>
      <c r="C67" s="14">
        <v>12</v>
      </c>
      <c r="D67" s="14">
        <v>12</v>
      </c>
      <c r="E67" s="14">
        <v>11</v>
      </c>
      <c r="F67">
        <f t="shared" si="17"/>
        <v>0</v>
      </c>
      <c r="G67" s="14">
        <v>12</v>
      </c>
      <c r="H67" s="14">
        <v>12</v>
      </c>
      <c r="I67" s="14">
        <v>12</v>
      </c>
      <c r="J67" s="14">
        <v>11</v>
      </c>
      <c r="K67" s="7">
        <f t="shared" si="18"/>
        <v>3</v>
      </c>
      <c r="L67" s="22">
        <f t="shared" si="19"/>
        <v>0</v>
      </c>
      <c r="M67" s="22">
        <f t="shared" si="20"/>
        <v>5</v>
      </c>
      <c r="N67">
        <v>5</v>
      </c>
      <c r="P67">
        <v>47</v>
      </c>
      <c r="Q67" s="14"/>
      <c r="R67" s="27">
        <v>18</v>
      </c>
      <c r="S67">
        <f t="shared" si="6"/>
        <v>-17.044334975369459</v>
      </c>
      <c r="T67">
        <f t="shared" si="5"/>
        <v>-17.044334975369459</v>
      </c>
      <c r="U67" s="25">
        <f t="shared" si="7"/>
        <v>0</v>
      </c>
      <c r="V67" s="25">
        <f t="shared" si="8"/>
        <v>0</v>
      </c>
      <c r="W67">
        <f t="shared" si="9"/>
        <v>0</v>
      </c>
      <c r="X67">
        <f t="shared" si="10"/>
        <v>0</v>
      </c>
      <c r="Y67" s="25">
        <f t="shared" si="11"/>
        <v>0</v>
      </c>
      <c r="Z67" s="25">
        <f t="shared" si="12"/>
        <v>0</v>
      </c>
      <c r="AA67">
        <f t="shared" si="13"/>
        <v>0</v>
      </c>
      <c r="AB67">
        <f t="shared" si="14"/>
        <v>0</v>
      </c>
      <c r="AF67" s="22"/>
    </row>
    <row r="68" spans="1:32" x14ac:dyDescent="0.25">
      <c r="A68">
        <f t="shared" si="16"/>
        <v>3.369727047146402</v>
      </c>
      <c r="B68" s="14">
        <v>12</v>
      </c>
      <c r="C68" s="14">
        <v>12</v>
      </c>
      <c r="D68" s="14">
        <v>12</v>
      </c>
      <c r="E68" s="14">
        <v>12</v>
      </c>
      <c r="F68">
        <f t="shared" si="17"/>
        <v>0</v>
      </c>
      <c r="G68" s="14">
        <v>12</v>
      </c>
      <c r="H68" s="14">
        <v>12</v>
      </c>
      <c r="I68" s="14">
        <v>12</v>
      </c>
      <c r="J68" s="14">
        <v>12</v>
      </c>
      <c r="K68" s="7">
        <f t="shared" si="18"/>
        <v>3</v>
      </c>
      <c r="L68" s="22">
        <f t="shared" si="19"/>
        <v>0</v>
      </c>
      <c r="M68" s="22">
        <f t="shared" si="20"/>
        <v>5</v>
      </c>
      <c r="N68">
        <v>5</v>
      </c>
      <c r="P68">
        <v>48</v>
      </c>
      <c r="Q68" s="14"/>
    </row>
    <row r="69" spans="1:32" x14ac:dyDescent="0.25">
      <c r="A69">
        <f t="shared" si="16"/>
        <v>2.8660049627791562</v>
      </c>
      <c r="B69" s="14">
        <v>13</v>
      </c>
      <c r="C69" s="14">
        <v>12</v>
      </c>
      <c r="D69" s="14">
        <v>12</v>
      </c>
      <c r="E69" s="14">
        <v>12</v>
      </c>
      <c r="F69">
        <f t="shared" si="17"/>
        <v>0</v>
      </c>
      <c r="G69" s="14">
        <v>13</v>
      </c>
      <c r="H69" s="14">
        <v>12</v>
      </c>
      <c r="I69" s="14">
        <v>12</v>
      </c>
      <c r="J69" s="14">
        <v>12</v>
      </c>
      <c r="K69" s="7">
        <f t="shared" si="18"/>
        <v>3</v>
      </c>
      <c r="L69" s="22">
        <f t="shared" si="19"/>
        <v>0</v>
      </c>
      <c r="M69" s="22">
        <f t="shared" si="20"/>
        <v>4</v>
      </c>
      <c r="N69">
        <v>4</v>
      </c>
      <c r="P69">
        <v>49</v>
      </c>
      <c r="Q69" s="14"/>
    </row>
    <row r="70" spans="1:32" x14ac:dyDescent="0.25">
      <c r="A70">
        <f t="shared" si="16"/>
        <v>2.8660049627791562</v>
      </c>
      <c r="B70" s="14">
        <v>13</v>
      </c>
      <c r="C70" s="14">
        <v>13</v>
      </c>
      <c r="D70" s="14">
        <v>12</v>
      </c>
      <c r="E70" s="14">
        <v>12</v>
      </c>
      <c r="F70">
        <f t="shared" si="17"/>
        <v>0</v>
      </c>
      <c r="G70" s="14">
        <v>13</v>
      </c>
      <c r="H70" s="14">
        <v>13</v>
      </c>
      <c r="I70" s="14">
        <v>12</v>
      </c>
      <c r="J70" s="14">
        <v>12</v>
      </c>
      <c r="K70" s="7">
        <f t="shared" si="18"/>
        <v>3</v>
      </c>
      <c r="L70" s="22">
        <f t="shared" si="19"/>
        <v>0</v>
      </c>
      <c r="M70" s="22">
        <f t="shared" si="20"/>
        <v>4</v>
      </c>
      <c r="N70">
        <v>4</v>
      </c>
      <c r="P70">
        <v>50</v>
      </c>
      <c r="Q70" s="14"/>
    </row>
    <row r="71" spans="1:32" x14ac:dyDescent="0.25">
      <c r="A71">
        <f t="shared" si="16"/>
        <v>2.8660049627791562</v>
      </c>
      <c r="B71" s="14">
        <v>13</v>
      </c>
      <c r="C71" s="14">
        <v>13</v>
      </c>
      <c r="D71" s="14">
        <v>13</v>
      </c>
      <c r="E71" s="14">
        <v>12</v>
      </c>
      <c r="F71">
        <f t="shared" si="17"/>
        <v>0</v>
      </c>
      <c r="G71" s="14">
        <v>13</v>
      </c>
      <c r="H71" s="14">
        <v>13</v>
      </c>
      <c r="I71" s="14">
        <v>13</v>
      </c>
      <c r="J71" s="14">
        <v>12</v>
      </c>
      <c r="K71" s="7">
        <f t="shared" si="18"/>
        <v>3</v>
      </c>
      <c r="L71" s="22">
        <f t="shared" si="19"/>
        <v>0</v>
      </c>
      <c r="M71" s="22">
        <f t="shared" si="20"/>
        <v>4</v>
      </c>
      <c r="N71">
        <v>4</v>
      </c>
      <c r="P71">
        <v>51</v>
      </c>
      <c r="Q71" s="14"/>
    </row>
    <row r="72" spans="1:32" x14ac:dyDescent="0.25">
      <c r="A72">
        <f t="shared" si="16"/>
        <v>2.8660049627791562</v>
      </c>
      <c r="B72" s="14">
        <v>13</v>
      </c>
      <c r="C72" s="14">
        <v>13</v>
      </c>
      <c r="D72" s="14">
        <v>13</v>
      </c>
      <c r="E72" s="14">
        <v>13</v>
      </c>
      <c r="F72">
        <f t="shared" si="17"/>
        <v>0</v>
      </c>
      <c r="G72" s="14">
        <v>13</v>
      </c>
      <c r="H72" s="14">
        <v>13</v>
      </c>
      <c r="I72" s="14">
        <v>13</v>
      </c>
      <c r="J72" s="14">
        <v>13</v>
      </c>
      <c r="K72" s="7">
        <f t="shared" si="18"/>
        <v>3</v>
      </c>
      <c r="L72" s="22">
        <f t="shared" si="19"/>
        <v>0</v>
      </c>
      <c r="M72" s="22">
        <f t="shared" si="20"/>
        <v>4</v>
      </c>
      <c r="N72">
        <v>4</v>
      </c>
      <c r="P72">
        <v>52</v>
      </c>
      <c r="Q72" s="14"/>
    </row>
    <row r="73" spans="1:32" x14ac:dyDescent="0.25">
      <c r="A73">
        <f t="shared" si="16"/>
        <v>2.3622828784119108</v>
      </c>
      <c r="B73" s="14">
        <v>14</v>
      </c>
      <c r="C73" s="14">
        <v>13</v>
      </c>
      <c r="D73" s="14">
        <v>13</v>
      </c>
      <c r="E73" s="14">
        <v>13</v>
      </c>
      <c r="F73">
        <f t="shared" si="17"/>
        <v>0</v>
      </c>
      <c r="G73" s="14">
        <v>14</v>
      </c>
      <c r="H73" s="14">
        <v>13</v>
      </c>
      <c r="I73" s="14">
        <v>13</v>
      </c>
      <c r="J73" s="14">
        <v>13</v>
      </c>
      <c r="K73" s="7">
        <f t="shared" si="18"/>
        <v>2</v>
      </c>
      <c r="L73" s="22">
        <f t="shared" si="19"/>
        <v>0</v>
      </c>
      <c r="M73" s="22">
        <f t="shared" si="20"/>
        <v>4</v>
      </c>
      <c r="N73">
        <v>4</v>
      </c>
      <c r="P73">
        <v>53</v>
      </c>
      <c r="Q73" s="14"/>
    </row>
    <row r="74" spans="1:32" x14ac:dyDescent="0.25">
      <c r="A74">
        <f t="shared" si="16"/>
        <v>2.3622828784119108</v>
      </c>
      <c r="B74" s="14">
        <v>14</v>
      </c>
      <c r="C74" s="14">
        <v>14</v>
      </c>
      <c r="D74" s="14">
        <v>13</v>
      </c>
      <c r="E74" s="14">
        <v>13</v>
      </c>
      <c r="F74">
        <f t="shared" si="17"/>
        <v>0</v>
      </c>
      <c r="G74" s="14">
        <v>14</v>
      </c>
      <c r="H74" s="14">
        <v>14</v>
      </c>
      <c r="I74" s="14">
        <v>13</v>
      </c>
      <c r="J74" s="14">
        <v>13</v>
      </c>
      <c r="K74" s="7">
        <f t="shared" si="18"/>
        <v>2</v>
      </c>
      <c r="L74" s="22">
        <f t="shared" si="19"/>
        <v>0</v>
      </c>
      <c r="M74" s="22">
        <f t="shared" si="20"/>
        <v>4</v>
      </c>
      <c r="N74">
        <v>4</v>
      </c>
      <c r="P74">
        <v>54</v>
      </c>
      <c r="Q74" s="14"/>
    </row>
    <row r="75" spans="1:32" x14ac:dyDescent="0.25">
      <c r="A75">
        <f t="shared" si="16"/>
        <v>2.3622828784119108</v>
      </c>
      <c r="B75" s="14">
        <v>14</v>
      </c>
      <c r="C75" s="14">
        <v>14</v>
      </c>
      <c r="D75" s="14">
        <v>14</v>
      </c>
      <c r="E75" s="14">
        <v>13</v>
      </c>
      <c r="F75">
        <f t="shared" si="17"/>
        <v>0</v>
      </c>
      <c r="G75" s="14">
        <v>14</v>
      </c>
      <c r="H75" s="14">
        <v>14</v>
      </c>
      <c r="I75" s="14">
        <v>14</v>
      </c>
      <c r="J75" s="14">
        <v>13</v>
      </c>
      <c r="K75" s="7">
        <f t="shared" si="18"/>
        <v>2</v>
      </c>
      <c r="L75" s="22">
        <f t="shared" si="19"/>
        <v>0</v>
      </c>
      <c r="M75" s="22">
        <f t="shared" si="20"/>
        <v>4</v>
      </c>
      <c r="N75">
        <v>4</v>
      </c>
      <c r="P75">
        <v>55</v>
      </c>
      <c r="Q75" s="14"/>
    </row>
    <row r="76" spans="1:32" x14ac:dyDescent="0.25">
      <c r="A76">
        <f t="shared" si="16"/>
        <v>2.3622828784119108</v>
      </c>
      <c r="B76" s="14">
        <v>14</v>
      </c>
      <c r="C76" s="14">
        <v>14</v>
      </c>
      <c r="D76" s="14">
        <v>14</v>
      </c>
      <c r="E76" s="14">
        <v>14</v>
      </c>
      <c r="F76">
        <f t="shared" si="17"/>
        <v>0</v>
      </c>
      <c r="G76" s="14">
        <v>14</v>
      </c>
      <c r="H76" s="14">
        <v>14</v>
      </c>
      <c r="I76" s="14">
        <v>14</v>
      </c>
      <c r="J76" s="14">
        <v>14</v>
      </c>
      <c r="K76" s="7">
        <f t="shared" si="18"/>
        <v>2</v>
      </c>
      <c r="L76" s="22">
        <f t="shared" si="19"/>
        <v>0</v>
      </c>
      <c r="M76" s="22">
        <f t="shared" si="20"/>
        <v>4</v>
      </c>
      <c r="N76">
        <v>4</v>
      </c>
      <c r="P76">
        <v>56</v>
      </c>
      <c r="Q76" s="14"/>
    </row>
    <row r="77" spans="1:32" x14ac:dyDescent="0.25">
      <c r="A77">
        <f t="shared" si="16"/>
        <v>1.8585607940446651</v>
      </c>
      <c r="B77" s="14">
        <v>15</v>
      </c>
      <c r="C77" s="14">
        <v>14</v>
      </c>
      <c r="D77" s="14">
        <v>14</v>
      </c>
      <c r="E77" s="14">
        <v>14</v>
      </c>
      <c r="F77">
        <f t="shared" si="17"/>
        <v>0</v>
      </c>
      <c r="G77" s="14">
        <v>15</v>
      </c>
      <c r="H77" s="14">
        <v>14</v>
      </c>
      <c r="I77" s="14">
        <v>14</v>
      </c>
      <c r="J77" s="14">
        <v>14</v>
      </c>
      <c r="K77" s="7">
        <f t="shared" si="18"/>
        <v>2</v>
      </c>
      <c r="L77" s="22">
        <f t="shared" si="19"/>
        <v>0</v>
      </c>
      <c r="M77" s="22">
        <f t="shared" si="20"/>
        <v>4</v>
      </c>
      <c r="O77">
        <v>4</v>
      </c>
      <c r="P77">
        <v>57</v>
      </c>
      <c r="Q77" s="14"/>
    </row>
    <row r="78" spans="1:32" x14ac:dyDescent="0.25">
      <c r="A78">
        <f t="shared" si="16"/>
        <v>1.8585607940446651</v>
      </c>
      <c r="B78" s="14">
        <v>15</v>
      </c>
      <c r="C78" s="14">
        <v>15</v>
      </c>
      <c r="D78" s="14">
        <v>14</v>
      </c>
      <c r="E78" s="14">
        <v>14</v>
      </c>
      <c r="F78">
        <f t="shared" si="17"/>
        <v>0</v>
      </c>
      <c r="G78" s="14">
        <v>15</v>
      </c>
      <c r="H78" s="14">
        <v>15</v>
      </c>
      <c r="I78" s="14">
        <v>14</v>
      </c>
      <c r="J78" s="14">
        <v>14</v>
      </c>
      <c r="K78" s="7">
        <f t="shared" si="18"/>
        <v>2</v>
      </c>
      <c r="L78" s="22">
        <f t="shared" si="19"/>
        <v>0</v>
      </c>
      <c r="M78" s="22">
        <f t="shared" si="20"/>
        <v>4</v>
      </c>
      <c r="O78">
        <v>4</v>
      </c>
      <c r="P78">
        <v>58</v>
      </c>
      <c r="Q78" s="14"/>
    </row>
    <row r="79" spans="1:32" x14ac:dyDescent="0.25">
      <c r="A79">
        <f t="shared" si="16"/>
        <v>1.8585607940446651</v>
      </c>
      <c r="B79" s="14">
        <v>15</v>
      </c>
      <c r="C79" s="14">
        <v>15</v>
      </c>
      <c r="D79" s="14">
        <v>15</v>
      </c>
      <c r="E79" s="14">
        <v>14</v>
      </c>
      <c r="F79">
        <f t="shared" si="17"/>
        <v>0</v>
      </c>
      <c r="G79" s="14">
        <v>15</v>
      </c>
      <c r="H79" s="14">
        <v>15</v>
      </c>
      <c r="I79" s="14">
        <v>15</v>
      </c>
      <c r="J79" s="14">
        <v>14</v>
      </c>
      <c r="K79" s="7">
        <f t="shared" si="18"/>
        <v>2</v>
      </c>
      <c r="L79" s="22">
        <f t="shared" si="19"/>
        <v>0</v>
      </c>
      <c r="M79" s="22">
        <f t="shared" si="20"/>
        <v>4</v>
      </c>
      <c r="O79">
        <v>4</v>
      </c>
      <c r="P79">
        <v>59</v>
      </c>
      <c r="Q79" s="14"/>
    </row>
    <row r="80" spans="1:32" x14ac:dyDescent="0.25">
      <c r="A80">
        <f t="shared" si="16"/>
        <v>1.8585607940446651</v>
      </c>
      <c r="B80" s="14">
        <v>15</v>
      </c>
      <c r="C80" s="14">
        <v>15</v>
      </c>
      <c r="D80" s="14">
        <v>15</v>
      </c>
      <c r="E80" s="14">
        <v>15</v>
      </c>
      <c r="F80">
        <f t="shared" si="17"/>
        <v>0</v>
      </c>
      <c r="G80" s="14">
        <v>15</v>
      </c>
      <c r="H80" s="14">
        <v>15</v>
      </c>
      <c r="I80" s="14">
        <v>15</v>
      </c>
      <c r="J80" s="14">
        <v>15</v>
      </c>
      <c r="K80" s="7">
        <f t="shared" si="18"/>
        <v>2</v>
      </c>
      <c r="L80" s="22">
        <f t="shared" si="19"/>
        <v>0</v>
      </c>
      <c r="M80" s="22">
        <f t="shared" si="20"/>
        <v>4</v>
      </c>
      <c r="O80" s="17">
        <v>4</v>
      </c>
      <c r="P80">
        <v>60</v>
      </c>
      <c r="Q80" s="14"/>
    </row>
    <row r="81" spans="1:35" x14ac:dyDescent="0.25">
      <c r="S81" s="14"/>
      <c r="AE81" s="7"/>
      <c r="AF81" s="22"/>
      <c r="AG81" s="22">
        <f t="shared" ref="AG81:AG85" si="21">MAX(AH81,AI81)</f>
        <v>3</v>
      </c>
      <c r="AI81">
        <v>3</v>
      </c>
    </row>
    <row r="82" spans="1:35" x14ac:dyDescent="0.25">
      <c r="M82" s="1"/>
      <c r="N82" s="14"/>
      <c r="O82" s="23"/>
      <c r="P82" s="14"/>
      <c r="Q82" s="14"/>
      <c r="R82" s="14"/>
      <c r="S82" s="14"/>
      <c r="AE82" s="7"/>
      <c r="AF82" s="22"/>
      <c r="AG82" s="22">
        <f t="shared" si="21"/>
        <v>3</v>
      </c>
      <c r="AI82">
        <v>3</v>
      </c>
    </row>
    <row r="83" spans="1:35" x14ac:dyDescent="0.25">
      <c r="N83" s="14"/>
      <c r="O83" s="22"/>
      <c r="P83" s="14"/>
      <c r="Q83" s="14"/>
      <c r="R83" s="14"/>
      <c r="S83" s="14"/>
      <c r="AE83" s="7"/>
      <c r="AF83" s="22"/>
      <c r="AG83" s="22">
        <f t="shared" si="21"/>
        <v>3</v>
      </c>
      <c r="AI83">
        <v>3</v>
      </c>
    </row>
    <row r="84" spans="1:35" x14ac:dyDescent="0.25">
      <c r="N84" s="14"/>
      <c r="O84" s="22"/>
      <c r="P84" s="14"/>
      <c r="Q84" s="14"/>
      <c r="R84" s="14"/>
      <c r="S84" s="14"/>
      <c r="AE84" s="7"/>
      <c r="AF84" s="22"/>
      <c r="AG84" s="22">
        <f t="shared" si="21"/>
        <v>3</v>
      </c>
      <c r="AI84">
        <v>3</v>
      </c>
    </row>
    <row r="85" spans="1:35" x14ac:dyDescent="0.25">
      <c r="N85" s="14"/>
      <c r="O85" s="22"/>
      <c r="P85" s="14"/>
      <c r="Q85" s="14"/>
      <c r="R85" s="14"/>
      <c r="S85" s="14"/>
      <c r="AE85" s="7"/>
      <c r="AF85" s="22"/>
      <c r="AG85" s="22">
        <f t="shared" si="21"/>
        <v>3</v>
      </c>
      <c r="AH85">
        <v>3</v>
      </c>
    </row>
    <row r="86" spans="1:35" x14ac:dyDescent="0.25">
      <c r="N86" s="14"/>
      <c r="O86" s="22"/>
      <c r="P86" s="14"/>
      <c r="Q86" s="14"/>
      <c r="R86" s="14"/>
      <c r="S86" s="14"/>
      <c r="AE86" s="7"/>
      <c r="AF86" s="22"/>
      <c r="AG86" s="22">
        <f t="shared" ref="AG86:AG140" si="22">MAX(AH86,AI86)</f>
        <v>3</v>
      </c>
      <c r="AH86">
        <v>3</v>
      </c>
    </row>
    <row r="87" spans="1:35" x14ac:dyDescent="0.25">
      <c r="P87" s="14"/>
      <c r="Q87" s="14"/>
      <c r="R87" s="14"/>
      <c r="S87" s="14"/>
      <c r="AE87" s="7"/>
      <c r="AF87" s="22"/>
      <c r="AG87" s="22">
        <f t="shared" si="22"/>
        <v>3</v>
      </c>
      <c r="AH87">
        <v>3</v>
      </c>
    </row>
    <row r="88" spans="1:35" x14ac:dyDescent="0.25">
      <c r="A88" s="146" t="s">
        <v>255</v>
      </c>
      <c r="B88" s="146"/>
      <c r="C88" s="146"/>
      <c r="D88" s="146"/>
      <c r="P88" s="14"/>
      <c r="Q88" s="14"/>
      <c r="R88" s="14"/>
      <c r="S88" s="14"/>
      <c r="AE88" s="7"/>
      <c r="AF88" s="22"/>
      <c r="AG88" s="22">
        <f t="shared" si="22"/>
        <v>3</v>
      </c>
      <c r="AH88">
        <v>3</v>
      </c>
    </row>
    <row r="89" spans="1:35" x14ac:dyDescent="0.25">
      <c r="A89" s="1" t="s">
        <v>98</v>
      </c>
      <c r="P89" s="14"/>
      <c r="Q89" s="14"/>
      <c r="R89" s="14"/>
      <c r="S89" s="14"/>
      <c r="AE89" s="7"/>
      <c r="AF89" s="22"/>
      <c r="AG89" s="22">
        <f t="shared" si="22"/>
        <v>3</v>
      </c>
      <c r="AH89">
        <v>3</v>
      </c>
    </row>
    <row r="90" spans="1:35" x14ac:dyDescent="0.25">
      <c r="A90" t="s">
        <v>99</v>
      </c>
      <c r="P90" s="14"/>
      <c r="Q90" s="14"/>
      <c r="R90" s="14"/>
      <c r="S90" s="14"/>
      <c r="AE90" s="7"/>
      <c r="AF90" s="22"/>
      <c r="AG90" s="22">
        <f t="shared" si="22"/>
        <v>3</v>
      </c>
      <c r="AH90">
        <v>3</v>
      </c>
    </row>
    <row r="91" spans="1:35" x14ac:dyDescent="0.25">
      <c r="D91" t="s">
        <v>101</v>
      </c>
      <c r="P91" s="14"/>
      <c r="Q91" s="14"/>
      <c r="R91" s="14"/>
      <c r="S91" s="14"/>
      <c r="T91" t="s">
        <v>103</v>
      </c>
      <c r="AE91" s="7"/>
      <c r="AF91" s="22"/>
      <c r="AG91" s="22">
        <f t="shared" si="22"/>
        <v>3</v>
      </c>
      <c r="AH91">
        <v>3</v>
      </c>
    </row>
    <row r="92" spans="1:35" x14ac:dyDescent="0.25">
      <c r="A92" t="s">
        <v>54</v>
      </c>
      <c r="B92" t="s">
        <v>53</v>
      </c>
      <c r="C92" t="s">
        <v>100</v>
      </c>
      <c r="D92" t="s">
        <v>54</v>
      </c>
      <c r="E92" t="s">
        <v>53</v>
      </c>
      <c r="F92" t="s">
        <v>102</v>
      </c>
      <c r="P92" s="14"/>
      <c r="Q92" s="14"/>
      <c r="R92" s="14"/>
      <c r="S92" s="14"/>
      <c r="T92" t="s">
        <v>104</v>
      </c>
      <c r="AE92" s="7"/>
      <c r="AF92" s="22"/>
      <c r="AG92" s="22">
        <f t="shared" si="22"/>
        <v>3</v>
      </c>
      <c r="AH92">
        <v>3</v>
      </c>
    </row>
    <row r="93" spans="1:35" x14ac:dyDescent="0.25">
      <c r="A93">
        <f>$G$15-$I$15*$C93</f>
        <v>9.4143904308938744</v>
      </c>
      <c r="B93">
        <f>$G$16-$I$16*$C93</f>
        <v>6.5240450063450401</v>
      </c>
      <c r="C93" s="14">
        <v>1</v>
      </c>
      <c r="D93">
        <f>A96</f>
        <v>7.9032244252783812</v>
      </c>
      <c r="E93">
        <f>B97</f>
        <v>3.8308449325513587</v>
      </c>
      <c r="F93">
        <f>B96</f>
        <v>4.5041449509997786</v>
      </c>
      <c r="P93" s="14"/>
      <c r="Q93" s="14"/>
      <c r="R93" s="14"/>
      <c r="S93" s="14"/>
      <c r="T93" t="s">
        <v>105</v>
      </c>
      <c r="AE93" s="7"/>
      <c r="AF93" s="22"/>
      <c r="AG93" s="22">
        <f t="shared" si="22"/>
        <v>2</v>
      </c>
      <c r="AH93">
        <v>2</v>
      </c>
    </row>
    <row r="94" spans="1:35" x14ac:dyDescent="0.25">
      <c r="A94">
        <f t="shared" ref="A94:A110" si="23">$G$15-$I$15*C94</f>
        <v>8.9106684290220421</v>
      </c>
      <c r="B94">
        <f t="shared" ref="B94:B102" si="24">$G$16-$I$16*$C94</f>
        <v>5.8507449878966202</v>
      </c>
      <c r="C94" s="14">
        <v>2</v>
      </c>
      <c r="D94">
        <f>A97</f>
        <v>7.3995024234065507</v>
      </c>
      <c r="E94">
        <f t="shared" ref="E94:E97" si="25">B98</f>
        <v>3.1575449141029379</v>
      </c>
      <c r="F94">
        <f>B95</f>
        <v>5.1774449694481994</v>
      </c>
      <c r="P94" s="14"/>
      <c r="Q94" s="14"/>
      <c r="R94" s="14"/>
      <c r="S94" s="14"/>
      <c r="T94" t="s">
        <v>106</v>
      </c>
      <c r="AE94" s="7"/>
      <c r="AF94" s="22"/>
      <c r="AG94" s="22">
        <f t="shared" si="22"/>
        <v>2</v>
      </c>
      <c r="AH94">
        <v>2</v>
      </c>
    </row>
    <row r="95" spans="1:35" x14ac:dyDescent="0.25">
      <c r="A95">
        <f t="shared" si="23"/>
        <v>8.4069464271502117</v>
      </c>
      <c r="B95">
        <f t="shared" si="24"/>
        <v>5.1774449694481994</v>
      </c>
      <c r="C95" s="14">
        <v>3</v>
      </c>
      <c r="D95">
        <f t="shared" ref="D95:D106" si="26">A98</f>
        <v>6.8957804215347194</v>
      </c>
      <c r="E95">
        <f t="shared" si="25"/>
        <v>2.484244895654518</v>
      </c>
      <c r="F95">
        <f>B94</f>
        <v>5.8507449878966202</v>
      </c>
      <c r="P95" s="14"/>
      <c r="Q95" s="14"/>
      <c r="R95" s="14"/>
      <c r="S95" s="14"/>
      <c r="T95" t="s">
        <v>107</v>
      </c>
      <c r="U95" t="s">
        <v>77</v>
      </c>
      <c r="V95" t="s">
        <v>76</v>
      </c>
      <c r="W95" t="s">
        <v>111</v>
      </c>
      <c r="AE95" s="7"/>
      <c r="AF95" s="22"/>
      <c r="AG95" s="22">
        <f t="shared" si="22"/>
        <v>2</v>
      </c>
      <c r="AH95">
        <v>2</v>
      </c>
    </row>
    <row r="96" spans="1:35" x14ac:dyDescent="0.25">
      <c r="A96">
        <f t="shared" si="23"/>
        <v>7.9032244252783812</v>
      </c>
      <c r="B96">
        <f t="shared" si="24"/>
        <v>4.5041449509997786</v>
      </c>
      <c r="C96" s="14">
        <v>4</v>
      </c>
      <c r="D96">
        <f t="shared" si="26"/>
        <v>6.392058419662888</v>
      </c>
      <c r="E96">
        <f t="shared" si="25"/>
        <v>1.8109448772060972</v>
      </c>
      <c r="F96">
        <f>B93</f>
        <v>6.5240450063450401</v>
      </c>
      <c r="P96" s="14"/>
      <c r="Q96" s="14"/>
      <c r="R96" s="14"/>
      <c r="S96" s="14"/>
      <c r="T96">
        <v>0</v>
      </c>
      <c r="U96">
        <f>6-4+T96</f>
        <v>2</v>
      </c>
      <c r="V96">
        <f>12-3-T96</f>
        <v>9</v>
      </c>
      <c r="W96">
        <f>'Cálculos multa esperada margina'!G26</f>
        <v>3.7449999999999997</v>
      </c>
      <c r="AE96" s="7"/>
      <c r="AF96" s="22"/>
      <c r="AG96" s="22">
        <f t="shared" si="22"/>
        <v>2</v>
      </c>
      <c r="AH96">
        <v>2</v>
      </c>
    </row>
    <row r="97" spans="1:35" x14ac:dyDescent="0.25">
      <c r="A97">
        <f t="shared" si="23"/>
        <v>7.3995024234065507</v>
      </c>
      <c r="B97">
        <f t="shared" si="24"/>
        <v>3.8308449325513587</v>
      </c>
      <c r="C97" s="14">
        <v>5</v>
      </c>
      <c r="D97">
        <f t="shared" si="26"/>
        <v>5.8883364177910575</v>
      </c>
      <c r="E97">
        <f t="shared" si="25"/>
        <v>1.1376448587576764</v>
      </c>
      <c r="P97" s="14"/>
      <c r="Q97" s="14"/>
      <c r="R97" s="14"/>
      <c r="T97">
        <v>1</v>
      </c>
      <c r="U97">
        <f t="shared" ref="U97:U100" si="27">6-4+T97</f>
        <v>3</v>
      </c>
      <c r="V97">
        <f t="shared" ref="V97:V100" si="28">12-3-T97</f>
        <v>8</v>
      </c>
      <c r="W97">
        <f>'Cálculos multa esperada margina'!G27</f>
        <v>4.76</v>
      </c>
      <c r="AE97" s="7"/>
      <c r="AF97" s="22"/>
      <c r="AG97" s="22">
        <f t="shared" si="22"/>
        <v>2</v>
      </c>
      <c r="AH97">
        <v>2</v>
      </c>
    </row>
    <row r="98" spans="1:35" x14ac:dyDescent="0.25">
      <c r="A98">
        <f t="shared" si="23"/>
        <v>6.8957804215347194</v>
      </c>
      <c r="B98">
        <f t="shared" si="24"/>
        <v>3.1575449141029379</v>
      </c>
      <c r="C98" s="14">
        <v>6</v>
      </c>
      <c r="D98">
        <f t="shared" si="26"/>
        <v>5.3846144159192271</v>
      </c>
      <c r="E98">
        <f>B102</f>
        <v>0.46434484030925649</v>
      </c>
      <c r="T98">
        <v>2</v>
      </c>
      <c r="U98">
        <f t="shared" si="27"/>
        <v>4</v>
      </c>
      <c r="V98">
        <f t="shared" si="28"/>
        <v>7</v>
      </c>
      <c r="W98">
        <f>'Cálculos multa esperada margina'!G28</f>
        <v>5.7749999999999995</v>
      </c>
      <c r="AE98" s="7"/>
      <c r="AF98" s="22"/>
      <c r="AG98" s="22">
        <f t="shared" si="22"/>
        <v>2</v>
      </c>
      <c r="AH98">
        <v>2</v>
      </c>
    </row>
    <row r="99" spans="1:35" x14ac:dyDescent="0.25">
      <c r="A99">
        <f t="shared" si="23"/>
        <v>6.392058419662888</v>
      </c>
      <c r="B99">
        <f t="shared" si="24"/>
        <v>2.484244895654518</v>
      </c>
      <c r="C99" s="14">
        <v>7</v>
      </c>
      <c r="D99">
        <f t="shared" si="26"/>
        <v>4.8808924140473957</v>
      </c>
      <c r="T99" s="5">
        <v>3</v>
      </c>
      <c r="U99" s="5">
        <f t="shared" si="27"/>
        <v>5</v>
      </c>
      <c r="V99" s="5">
        <f t="shared" si="28"/>
        <v>6</v>
      </c>
      <c r="W99" s="5">
        <f>'Cálculos multa esperada margina'!G29</f>
        <v>6.7899999999999991</v>
      </c>
      <c r="X99" t="s">
        <v>112</v>
      </c>
      <c r="AE99" s="7"/>
      <c r="AF99" s="22"/>
      <c r="AG99" s="22">
        <f t="shared" si="22"/>
        <v>2</v>
      </c>
      <c r="AH99">
        <v>2</v>
      </c>
    </row>
    <row r="100" spans="1:35" x14ac:dyDescent="0.25">
      <c r="A100">
        <f t="shared" si="23"/>
        <v>5.8883364177910575</v>
      </c>
      <c r="B100">
        <f t="shared" si="24"/>
        <v>1.8109448772060972</v>
      </c>
      <c r="C100" s="14">
        <v>8</v>
      </c>
      <c r="D100">
        <f t="shared" si="26"/>
        <v>4.3771704121755644</v>
      </c>
      <c r="T100">
        <v>4</v>
      </c>
      <c r="U100">
        <f t="shared" si="27"/>
        <v>6</v>
      </c>
      <c r="V100">
        <f t="shared" si="28"/>
        <v>5</v>
      </c>
      <c r="W100">
        <f>'Cálculos multa esperada margina'!G30</f>
        <v>7.8049999999999997</v>
      </c>
      <c r="AE100" s="7"/>
      <c r="AF100" s="22"/>
      <c r="AG100" s="22">
        <f t="shared" si="22"/>
        <v>2</v>
      </c>
      <c r="AH100">
        <v>2</v>
      </c>
    </row>
    <row r="101" spans="1:35" x14ac:dyDescent="0.25">
      <c r="A101">
        <f t="shared" si="23"/>
        <v>5.3846144159192271</v>
      </c>
      <c r="B101">
        <f t="shared" si="24"/>
        <v>1.1376448587576764</v>
      </c>
      <c r="C101" s="14">
        <v>9</v>
      </c>
      <c r="D101">
        <f t="shared" si="26"/>
        <v>3.8734484103037339</v>
      </c>
      <c r="AE101" s="7"/>
      <c r="AF101" s="22"/>
      <c r="AG101" s="22">
        <f t="shared" si="22"/>
        <v>2</v>
      </c>
      <c r="AI101">
        <v>2</v>
      </c>
    </row>
    <row r="102" spans="1:35" x14ac:dyDescent="0.25">
      <c r="A102">
        <f t="shared" si="23"/>
        <v>4.8808924140473957</v>
      </c>
      <c r="B102">
        <f t="shared" si="24"/>
        <v>0.46434484030925649</v>
      </c>
      <c r="C102" s="14">
        <v>10</v>
      </c>
      <c r="D102">
        <f t="shared" si="26"/>
        <v>3.3697264084319034</v>
      </c>
      <c r="AE102" s="7"/>
      <c r="AF102" s="22"/>
      <c r="AG102" s="22">
        <f t="shared" si="22"/>
        <v>2</v>
      </c>
      <c r="AI102">
        <v>2</v>
      </c>
    </row>
    <row r="103" spans="1:35" x14ac:dyDescent="0.25">
      <c r="A103">
        <f t="shared" si="23"/>
        <v>4.3771704121755644</v>
      </c>
      <c r="B103">
        <v>0</v>
      </c>
      <c r="C103" s="14">
        <v>11</v>
      </c>
      <c r="D103">
        <f t="shared" si="26"/>
        <v>2.866004406560072</v>
      </c>
      <c r="AE103" s="7"/>
      <c r="AF103" s="22"/>
      <c r="AG103" s="22">
        <f t="shared" si="22"/>
        <v>2</v>
      </c>
      <c r="AI103">
        <v>2</v>
      </c>
    </row>
    <row r="104" spans="1:35" x14ac:dyDescent="0.25">
      <c r="A104">
        <f t="shared" si="23"/>
        <v>3.8734484103037339</v>
      </c>
      <c r="B104">
        <v>0</v>
      </c>
      <c r="C104" s="14">
        <v>12</v>
      </c>
      <c r="D104">
        <f t="shared" si="26"/>
        <v>2.3622824046882407</v>
      </c>
      <c r="AE104" s="7"/>
      <c r="AF104" s="22"/>
      <c r="AG104" s="22">
        <f t="shared" si="22"/>
        <v>2</v>
      </c>
      <c r="AI104">
        <v>2</v>
      </c>
    </row>
    <row r="105" spans="1:35" x14ac:dyDescent="0.25">
      <c r="A105">
        <f t="shared" si="23"/>
        <v>3.3697264084319034</v>
      </c>
      <c r="B105">
        <v>0</v>
      </c>
      <c r="C105" s="14">
        <v>13</v>
      </c>
      <c r="D105">
        <f t="shared" si="26"/>
        <v>1.8585604028164102</v>
      </c>
      <c r="AE105" s="7"/>
      <c r="AF105" s="22"/>
      <c r="AG105" s="22">
        <f t="shared" si="22"/>
        <v>2</v>
      </c>
      <c r="AI105">
        <v>2</v>
      </c>
    </row>
    <row r="106" spans="1:35" x14ac:dyDescent="0.25">
      <c r="A106">
        <f t="shared" si="23"/>
        <v>2.866004406560072</v>
      </c>
      <c r="B106">
        <v>0</v>
      </c>
      <c r="C106" s="14">
        <v>14</v>
      </c>
      <c r="D106">
        <f t="shared" si="26"/>
        <v>1.3548384009445797</v>
      </c>
      <c r="AG106" s="22">
        <f t="shared" si="22"/>
        <v>2</v>
      </c>
      <c r="AI106">
        <v>2</v>
      </c>
    </row>
    <row r="107" spans="1:35" x14ac:dyDescent="0.25">
      <c r="A107">
        <f t="shared" si="23"/>
        <v>2.3622824046882407</v>
      </c>
      <c r="B107">
        <v>0</v>
      </c>
      <c r="C107" s="14">
        <v>15</v>
      </c>
      <c r="D107">
        <f>A110</f>
        <v>0.85111639907274927</v>
      </c>
      <c r="AG107" s="22">
        <f t="shared" si="22"/>
        <v>2</v>
      </c>
      <c r="AI107">
        <v>2</v>
      </c>
    </row>
    <row r="108" spans="1:35" x14ac:dyDescent="0.25">
      <c r="A108">
        <f t="shared" si="23"/>
        <v>1.8585604028164102</v>
      </c>
      <c r="B108">
        <v>0</v>
      </c>
      <c r="C108" s="14">
        <v>16</v>
      </c>
      <c r="D108">
        <f>A111</f>
        <v>0</v>
      </c>
      <c r="AG108" s="22">
        <f t="shared" si="22"/>
        <v>2</v>
      </c>
      <c r="AI108">
        <v>2</v>
      </c>
    </row>
    <row r="109" spans="1:35" x14ac:dyDescent="0.25">
      <c r="A109">
        <f t="shared" si="23"/>
        <v>1.3548384009445797</v>
      </c>
      <c r="B109">
        <v>0</v>
      </c>
      <c r="C109" s="14">
        <v>17</v>
      </c>
      <c r="O109" s="22"/>
      <c r="AG109" s="22">
        <f t="shared" si="22"/>
        <v>1</v>
      </c>
      <c r="AI109">
        <v>1</v>
      </c>
    </row>
    <row r="110" spans="1:35" x14ac:dyDescent="0.25">
      <c r="A110">
        <f t="shared" si="23"/>
        <v>0.85111639907274927</v>
      </c>
      <c r="B110">
        <v>0</v>
      </c>
      <c r="C110" s="14">
        <v>18</v>
      </c>
      <c r="O110" s="22"/>
      <c r="AG110" s="22">
        <f t="shared" si="22"/>
        <v>1</v>
      </c>
      <c r="AI110">
        <v>1</v>
      </c>
    </row>
    <row r="111" spans="1:35" x14ac:dyDescent="0.25">
      <c r="O111" s="22"/>
      <c r="AG111" s="22">
        <f t="shared" si="22"/>
        <v>1</v>
      </c>
      <c r="AI111">
        <v>1</v>
      </c>
    </row>
    <row r="112" spans="1:35" x14ac:dyDescent="0.25">
      <c r="O112" s="22"/>
      <c r="AG112" s="22">
        <f t="shared" si="22"/>
        <v>1</v>
      </c>
      <c r="AI112">
        <v>1</v>
      </c>
    </row>
    <row r="113" spans="15:35" x14ac:dyDescent="0.25">
      <c r="O113" s="22"/>
      <c r="AG113" s="22">
        <f t="shared" si="22"/>
        <v>0</v>
      </c>
      <c r="AI113">
        <v>0</v>
      </c>
    </row>
    <row r="114" spans="15:35" x14ac:dyDescent="0.25">
      <c r="O114" s="22"/>
      <c r="AG114" s="22">
        <f t="shared" si="22"/>
        <v>0</v>
      </c>
      <c r="AI114">
        <v>0</v>
      </c>
    </row>
    <row r="115" spans="15:35" x14ac:dyDescent="0.25">
      <c r="O115" s="22"/>
      <c r="AG115" s="22">
        <f t="shared" si="22"/>
        <v>0</v>
      </c>
      <c r="AI115">
        <v>0</v>
      </c>
    </row>
    <row r="116" spans="15:35" x14ac:dyDescent="0.25">
      <c r="O116" s="22"/>
      <c r="AG116" s="22">
        <f t="shared" si="22"/>
        <v>0</v>
      </c>
      <c r="AI116">
        <v>0</v>
      </c>
    </row>
    <row r="117" spans="15:35" x14ac:dyDescent="0.25">
      <c r="O117" s="22"/>
      <c r="AG117" s="22">
        <f t="shared" si="22"/>
        <v>0</v>
      </c>
      <c r="AI117">
        <v>0</v>
      </c>
    </row>
    <row r="118" spans="15:35" x14ac:dyDescent="0.25">
      <c r="O118" s="22"/>
      <c r="AG118" s="22">
        <f t="shared" si="22"/>
        <v>0</v>
      </c>
      <c r="AI118">
        <v>0</v>
      </c>
    </row>
    <row r="119" spans="15:35" x14ac:dyDescent="0.25">
      <c r="O119" s="22"/>
      <c r="AG119" s="22">
        <f t="shared" si="22"/>
        <v>0</v>
      </c>
      <c r="AI119">
        <v>0</v>
      </c>
    </row>
    <row r="120" spans="15:35" x14ac:dyDescent="0.25">
      <c r="O120" s="22"/>
      <c r="AG120" s="22">
        <f t="shared" si="22"/>
        <v>0</v>
      </c>
      <c r="AI120">
        <v>0</v>
      </c>
    </row>
    <row r="121" spans="15:35" x14ac:dyDescent="0.25">
      <c r="O121" s="22"/>
      <c r="AG121" s="22">
        <f t="shared" si="22"/>
        <v>0</v>
      </c>
      <c r="AI121">
        <v>0</v>
      </c>
    </row>
    <row r="122" spans="15:35" x14ac:dyDescent="0.25">
      <c r="O122" s="22"/>
      <c r="AG122" s="22">
        <f t="shared" si="22"/>
        <v>0</v>
      </c>
      <c r="AI122">
        <v>0</v>
      </c>
    </row>
    <row r="123" spans="15:35" x14ac:dyDescent="0.25">
      <c r="O123" s="22"/>
      <c r="AG123" s="22">
        <f t="shared" si="22"/>
        <v>0</v>
      </c>
      <c r="AI123">
        <v>0</v>
      </c>
    </row>
    <row r="124" spans="15:35" x14ac:dyDescent="0.25">
      <c r="O124" s="22"/>
      <c r="AG124" s="22">
        <f t="shared" si="22"/>
        <v>0</v>
      </c>
      <c r="AI124">
        <v>0</v>
      </c>
    </row>
    <row r="125" spans="15:35" x14ac:dyDescent="0.25">
      <c r="O125" s="22"/>
      <c r="AG125" s="22">
        <f t="shared" si="22"/>
        <v>0</v>
      </c>
      <c r="AI125">
        <v>0</v>
      </c>
    </row>
    <row r="126" spans="15:35" x14ac:dyDescent="0.25">
      <c r="O126" s="1"/>
      <c r="AG126" s="22">
        <f t="shared" si="22"/>
        <v>0</v>
      </c>
      <c r="AI126">
        <v>0</v>
      </c>
    </row>
    <row r="127" spans="15:35" x14ac:dyDescent="0.25">
      <c r="AG127" s="22">
        <f t="shared" si="22"/>
        <v>0</v>
      </c>
      <c r="AI127">
        <v>0</v>
      </c>
    </row>
    <row r="128" spans="15:35" x14ac:dyDescent="0.25">
      <c r="AG128" s="22">
        <f t="shared" si="22"/>
        <v>0</v>
      </c>
      <c r="AI128">
        <v>0</v>
      </c>
    </row>
    <row r="129" spans="33:35" x14ac:dyDescent="0.25">
      <c r="AG129" s="22">
        <f t="shared" si="22"/>
        <v>0</v>
      </c>
      <c r="AI129">
        <v>0</v>
      </c>
    </row>
    <row r="130" spans="33:35" x14ac:dyDescent="0.25">
      <c r="AG130" s="22">
        <f t="shared" si="22"/>
        <v>0</v>
      </c>
      <c r="AI130">
        <v>0</v>
      </c>
    </row>
    <row r="131" spans="33:35" x14ac:dyDescent="0.25">
      <c r="AG131" s="22">
        <f t="shared" si="22"/>
        <v>0</v>
      </c>
      <c r="AI131">
        <v>0</v>
      </c>
    </row>
    <row r="132" spans="33:35" x14ac:dyDescent="0.25">
      <c r="AG132" s="22">
        <f t="shared" si="22"/>
        <v>0</v>
      </c>
      <c r="AI132">
        <v>0</v>
      </c>
    </row>
    <row r="133" spans="33:35" x14ac:dyDescent="0.25">
      <c r="AG133" s="22">
        <f t="shared" si="22"/>
        <v>0</v>
      </c>
      <c r="AI133">
        <v>0</v>
      </c>
    </row>
    <row r="134" spans="33:35" x14ac:dyDescent="0.25">
      <c r="AG134" s="22">
        <f t="shared" si="22"/>
        <v>0</v>
      </c>
      <c r="AI134">
        <v>0</v>
      </c>
    </row>
    <row r="135" spans="33:35" x14ac:dyDescent="0.25">
      <c r="AG135" s="22">
        <f t="shared" si="22"/>
        <v>0</v>
      </c>
      <c r="AI135">
        <v>0</v>
      </c>
    </row>
    <row r="136" spans="33:35" x14ac:dyDescent="0.25">
      <c r="AG136" s="22">
        <f t="shared" si="22"/>
        <v>0</v>
      </c>
      <c r="AI136">
        <v>0</v>
      </c>
    </row>
    <row r="137" spans="33:35" x14ac:dyDescent="0.25">
      <c r="AG137" s="22">
        <f t="shared" si="22"/>
        <v>0</v>
      </c>
      <c r="AI137">
        <v>0</v>
      </c>
    </row>
    <row r="138" spans="33:35" x14ac:dyDescent="0.25">
      <c r="AG138" s="22">
        <f t="shared" si="22"/>
        <v>0</v>
      </c>
      <c r="AI138">
        <v>0</v>
      </c>
    </row>
    <row r="139" spans="33:35" x14ac:dyDescent="0.25">
      <c r="AG139" s="22">
        <f t="shared" si="22"/>
        <v>0</v>
      </c>
      <c r="AI139">
        <v>0</v>
      </c>
    </row>
    <row r="140" spans="33:35" x14ac:dyDescent="0.25">
      <c r="AG140" s="22">
        <f t="shared" si="22"/>
        <v>0</v>
      </c>
      <c r="AI140">
        <v>0</v>
      </c>
    </row>
  </sheetData>
  <mergeCells count="7">
    <mergeCell ref="S39:S41"/>
    <mergeCell ref="S42:S43"/>
    <mergeCell ref="S48:T48"/>
    <mergeCell ref="W48:X48"/>
    <mergeCell ref="Y48:Z48"/>
    <mergeCell ref="S47:V47"/>
    <mergeCell ref="W47:Z47"/>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zoomScale="75" zoomScaleNormal="75" workbookViewId="0">
      <selection activeCell="A12" sqref="A12"/>
    </sheetView>
  </sheetViews>
  <sheetFormatPr baseColWidth="10" defaultRowHeight="15" x14ac:dyDescent="0.25"/>
  <cols>
    <col min="2" max="3" width="6.28515625" customWidth="1"/>
    <col min="4" max="4" width="11.140625" customWidth="1"/>
    <col min="5" max="5" width="7.85546875" customWidth="1"/>
    <col min="6" max="6" width="7.42578125" customWidth="1"/>
    <col min="7" max="7" width="10.85546875" customWidth="1"/>
    <col min="8" max="8" width="3.7109375" customWidth="1"/>
    <col min="9" max="9" width="11.28515625" customWidth="1"/>
    <col min="10" max="10" width="3.42578125" bestFit="1" customWidth="1"/>
    <col min="11" max="11" width="11.85546875" customWidth="1"/>
    <col min="12" max="12" width="11.5703125" customWidth="1"/>
    <col min="13" max="13" width="9" customWidth="1"/>
    <col min="14" max="15" width="2.42578125" bestFit="1" customWidth="1"/>
    <col min="16" max="16" width="3.5703125" bestFit="1" customWidth="1"/>
    <col min="17" max="17" width="5.85546875" bestFit="1" customWidth="1"/>
    <col min="18" max="18" width="14.85546875" customWidth="1"/>
    <col min="19" max="19" width="6" bestFit="1" customWidth="1"/>
    <col min="20" max="20" width="14.42578125" customWidth="1"/>
    <col min="22" max="22" width="11.5703125" bestFit="1" customWidth="1"/>
    <col min="23" max="23" width="9.28515625" customWidth="1"/>
    <col min="24" max="24" width="7.7109375" customWidth="1"/>
    <col min="25" max="25" width="7.5703125" customWidth="1"/>
    <col min="26" max="26" width="3.5703125" bestFit="1" customWidth="1"/>
    <col min="27" max="27" width="3.140625" bestFit="1" customWidth="1"/>
    <col min="28" max="29" width="11.5703125" bestFit="1" customWidth="1"/>
    <col min="31" max="31" width="11.85546875" bestFit="1" customWidth="1"/>
  </cols>
  <sheetData>
    <row r="1" spans="1:18" x14ac:dyDescent="0.25">
      <c r="A1" t="s">
        <v>164</v>
      </c>
    </row>
    <row r="2" spans="1:18" x14ac:dyDescent="0.25">
      <c r="A2" t="s">
        <v>165</v>
      </c>
    </row>
    <row r="3" spans="1:18" x14ac:dyDescent="0.25">
      <c r="A3" t="s">
        <v>50</v>
      </c>
      <c r="C3" t="s">
        <v>166</v>
      </c>
    </row>
    <row r="8" spans="1:18" x14ac:dyDescent="0.25">
      <c r="A8" t="s">
        <v>46</v>
      </c>
      <c r="C8" t="s">
        <v>167</v>
      </c>
    </row>
    <row r="9" spans="1:18" x14ac:dyDescent="0.25">
      <c r="A9" t="s">
        <v>162</v>
      </c>
    </row>
    <row r="10" spans="1:18" x14ac:dyDescent="0.25">
      <c r="A10" t="s">
        <v>48</v>
      </c>
      <c r="R10" s="16"/>
    </row>
    <row r="11" spans="1:18" x14ac:dyDescent="0.25">
      <c r="R11" s="16"/>
    </row>
    <row r="15" spans="1:18" s="44" customFormat="1" x14ac:dyDescent="0.25"/>
    <row r="16" spans="1:18" x14ac:dyDescent="0.25">
      <c r="G16" s="21"/>
    </row>
    <row r="17" spans="2:17" x14ac:dyDescent="0.25">
      <c r="H17" s="21"/>
    </row>
    <row r="18" spans="2:17" x14ac:dyDescent="0.25">
      <c r="B18" s="46"/>
      <c r="H18" s="21"/>
    </row>
    <row r="19" spans="2:17" x14ac:dyDescent="0.25">
      <c r="M19" s="7"/>
    </row>
    <row r="20" spans="2:17" x14ac:dyDescent="0.25">
      <c r="M20" s="7"/>
    </row>
    <row r="21" spans="2:17" x14ac:dyDescent="0.25">
      <c r="B21" s="15"/>
      <c r="C21" s="14"/>
      <c r="D21" s="14"/>
      <c r="E21" s="14"/>
      <c r="G21" s="15"/>
      <c r="H21" s="14"/>
      <c r="I21" s="14"/>
      <c r="J21" s="14"/>
      <c r="M21" s="7"/>
      <c r="Q21" s="14"/>
    </row>
    <row r="22" spans="2:17" x14ac:dyDescent="0.25">
      <c r="B22" s="14"/>
      <c r="C22" s="15"/>
      <c r="D22" s="14"/>
      <c r="E22" s="14"/>
      <c r="G22" s="14"/>
      <c r="H22" s="15"/>
      <c r="I22" s="14"/>
      <c r="J22" s="14"/>
      <c r="K22" s="7"/>
      <c r="L22" s="22"/>
      <c r="M22" s="22"/>
      <c r="Q22" s="14"/>
    </row>
    <row r="23" spans="2:17" x14ac:dyDescent="0.25">
      <c r="B23" s="14"/>
      <c r="C23" s="14"/>
      <c r="D23" s="15"/>
      <c r="E23" s="14"/>
      <c r="G23" s="14"/>
      <c r="H23" s="14"/>
      <c r="I23" s="15"/>
      <c r="J23" s="14"/>
      <c r="K23" s="7"/>
      <c r="L23" s="22"/>
      <c r="M23" s="22"/>
      <c r="Q23" s="14"/>
    </row>
    <row r="24" spans="2:17" x14ac:dyDescent="0.25">
      <c r="B24" s="14"/>
      <c r="C24" s="14"/>
      <c r="D24" s="14"/>
      <c r="E24" s="15"/>
      <c r="G24" s="14"/>
      <c r="H24" s="14"/>
      <c r="I24" s="14"/>
      <c r="J24" s="15"/>
      <c r="K24" s="7"/>
      <c r="L24" s="22"/>
      <c r="M24" s="22"/>
      <c r="Q24" s="14"/>
    </row>
    <row r="25" spans="2:17" x14ac:dyDescent="0.25">
      <c r="B25" s="14"/>
      <c r="C25" s="14"/>
      <c r="D25" s="14"/>
      <c r="E25" s="14"/>
      <c r="F25" s="5"/>
      <c r="G25" s="6"/>
      <c r="H25" s="6"/>
      <c r="I25" s="6"/>
      <c r="J25" s="6"/>
      <c r="K25" s="7"/>
      <c r="L25" s="22"/>
      <c r="M25" s="22"/>
      <c r="Q25" s="14"/>
    </row>
    <row r="26" spans="2:17" x14ac:dyDescent="0.25">
      <c r="B26" s="14"/>
      <c r="C26" s="14"/>
      <c r="D26" s="14"/>
      <c r="E26" s="14"/>
      <c r="G26" s="14"/>
      <c r="H26" s="14"/>
      <c r="I26" s="14"/>
      <c r="J26" s="14"/>
      <c r="K26" s="7"/>
      <c r="L26" s="22"/>
      <c r="M26" s="22"/>
      <c r="Q26" s="14"/>
    </row>
    <row r="27" spans="2:17" x14ac:dyDescent="0.25">
      <c r="B27" s="14"/>
      <c r="C27" s="14"/>
      <c r="D27" s="14"/>
      <c r="E27" s="14"/>
      <c r="G27" s="14"/>
      <c r="H27" s="14"/>
      <c r="I27" s="14"/>
      <c r="J27" s="14"/>
      <c r="K27" s="7"/>
      <c r="L27" s="22"/>
      <c r="M27" s="22"/>
      <c r="Q27" s="14"/>
    </row>
    <row r="28" spans="2:17" x14ac:dyDescent="0.25">
      <c r="B28" s="14"/>
      <c r="C28" s="14"/>
      <c r="D28" s="14"/>
      <c r="E28" s="14"/>
      <c r="G28" s="14"/>
      <c r="H28" s="14"/>
      <c r="I28" s="14"/>
      <c r="J28" s="14"/>
      <c r="K28" s="7"/>
      <c r="L28" s="22"/>
      <c r="M28" s="22"/>
      <c r="Q28" s="14"/>
    </row>
    <row r="29" spans="2:17" x14ac:dyDescent="0.25">
      <c r="B29" s="14"/>
      <c r="C29" s="14"/>
      <c r="D29" s="14"/>
      <c r="E29" s="14"/>
      <c r="G29" s="14"/>
      <c r="H29" s="14"/>
      <c r="I29" s="14"/>
      <c r="J29" s="14"/>
      <c r="K29" s="7"/>
      <c r="L29" s="22"/>
      <c r="M29" s="22"/>
      <c r="Q29" s="14"/>
    </row>
    <row r="30" spans="2:17" x14ac:dyDescent="0.25">
      <c r="B30" s="14"/>
      <c r="C30" s="14"/>
      <c r="D30" s="14"/>
      <c r="E30" s="14"/>
      <c r="G30" s="14"/>
      <c r="H30" s="14"/>
      <c r="I30" s="14"/>
      <c r="J30" s="14"/>
      <c r="K30" s="7"/>
      <c r="L30" s="22"/>
      <c r="M30" s="22"/>
      <c r="Q30" s="14"/>
    </row>
    <row r="31" spans="2:17" x14ac:dyDescent="0.25">
      <c r="B31" s="14"/>
      <c r="C31" s="14"/>
      <c r="D31" s="14"/>
      <c r="E31" s="14"/>
      <c r="G31" s="14"/>
      <c r="H31" s="14"/>
      <c r="I31" s="14"/>
      <c r="J31" s="14"/>
      <c r="K31" s="7"/>
      <c r="L31" s="22"/>
      <c r="M31" s="22"/>
      <c r="Q31" s="14"/>
    </row>
    <row r="32" spans="2:17" x14ac:dyDescent="0.25">
      <c r="B32" s="14"/>
      <c r="C32" s="14"/>
      <c r="D32" s="14"/>
      <c r="E32" s="14"/>
      <c r="G32" s="14"/>
      <c r="H32" s="14"/>
      <c r="I32" s="14"/>
      <c r="J32" s="14"/>
      <c r="K32" s="7"/>
      <c r="L32" s="22"/>
      <c r="M32" s="22"/>
      <c r="Q32" s="14"/>
    </row>
    <row r="33" spans="1:32" x14ac:dyDescent="0.25">
      <c r="B33" s="14"/>
      <c r="C33" s="14"/>
      <c r="D33" s="14"/>
      <c r="E33" s="14"/>
      <c r="G33" s="14"/>
      <c r="H33" s="14"/>
      <c r="I33" s="14"/>
      <c r="J33" s="14"/>
      <c r="K33" s="7"/>
      <c r="L33" s="22"/>
      <c r="M33" s="22"/>
      <c r="Q33" s="14"/>
    </row>
    <row r="34" spans="1:32" x14ac:dyDescent="0.25">
      <c r="B34" s="14"/>
      <c r="C34" s="14"/>
      <c r="D34" s="14"/>
      <c r="E34" s="14"/>
      <c r="G34" s="14"/>
      <c r="H34" s="14"/>
      <c r="I34" s="14"/>
      <c r="J34" s="14"/>
      <c r="K34" s="7"/>
      <c r="L34" s="22"/>
      <c r="M34" s="22"/>
      <c r="Q34" s="14"/>
    </row>
    <row r="35" spans="1:32" x14ac:dyDescent="0.25">
      <c r="B35" s="14"/>
      <c r="C35" s="14"/>
      <c r="D35" s="14"/>
      <c r="E35" s="14"/>
      <c r="G35" s="14"/>
      <c r="H35" s="14"/>
      <c r="I35" s="14"/>
      <c r="J35" s="14"/>
      <c r="K35" s="7"/>
      <c r="L35" s="22"/>
      <c r="M35" s="22"/>
      <c r="Q35" s="14"/>
    </row>
    <row r="36" spans="1:32" x14ac:dyDescent="0.25">
      <c r="B36" s="14"/>
      <c r="C36" s="14"/>
      <c r="D36" s="14"/>
      <c r="E36" s="14"/>
      <c r="G36" s="14"/>
      <c r="H36" s="14"/>
      <c r="I36" s="14"/>
      <c r="J36" s="14"/>
      <c r="K36" s="7"/>
      <c r="L36" s="22"/>
      <c r="M36" s="22"/>
      <c r="Q36" s="14"/>
    </row>
    <row r="37" spans="1:32" s="17" customFormat="1" x14ac:dyDescent="0.25">
      <c r="A37"/>
      <c r="B37" s="18"/>
      <c r="C37" s="18"/>
      <c r="D37" s="18"/>
      <c r="E37" s="18"/>
      <c r="F37"/>
      <c r="G37" s="18"/>
      <c r="H37" s="18"/>
      <c r="I37" s="18"/>
      <c r="J37" s="18"/>
      <c r="K37" s="7"/>
      <c r="L37" s="22"/>
      <c r="M37" s="22"/>
      <c r="O37"/>
      <c r="P37"/>
      <c r="Q37" s="14"/>
    </row>
    <row r="38" spans="1:32" x14ac:dyDescent="0.25">
      <c r="B38" s="14"/>
      <c r="C38" s="14"/>
      <c r="D38" s="14"/>
      <c r="E38" s="14"/>
      <c r="G38" s="14"/>
      <c r="H38" s="14"/>
      <c r="I38" s="14"/>
      <c r="J38" s="14"/>
      <c r="K38" s="7"/>
      <c r="L38" s="22"/>
      <c r="M38" s="22"/>
      <c r="Q38" s="14"/>
    </row>
    <row r="39" spans="1:32" x14ac:dyDescent="0.25">
      <c r="B39" s="14"/>
      <c r="C39" s="14"/>
      <c r="D39" s="14"/>
      <c r="E39" s="14"/>
      <c r="G39" s="14"/>
      <c r="H39" s="14"/>
      <c r="I39" s="14"/>
      <c r="J39" s="14"/>
      <c r="K39" s="7"/>
      <c r="L39" s="22"/>
      <c r="M39" s="22"/>
      <c r="Q39" s="14"/>
    </row>
    <row r="40" spans="1:32" x14ac:dyDescent="0.25">
      <c r="B40" s="14"/>
      <c r="C40" s="14"/>
      <c r="D40" s="14"/>
      <c r="E40" s="14"/>
      <c r="G40" s="14"/>
      <c r="H40" s="14"/>
      <c r="I40" s="14"/>
      <c r="J40" s="14"/>
      <c r="K40" s="7"/>
      <c r="L40" s="22"/>
      <c r="M40" s="22"/>
      <c r="Q40" s="14"/>
      <c r="S40" s="187"/>
    </row>
    <row r="41" spans="1:32" x14ac:dyDescent="0.25">
      <c r="B41" s="14"/>
      <c r="C41" s="14"/>
      <c r="D41" s="14"/>
      <c r="E41" s="14"/>
      <c r="G41" s="14"/>
      <c r="H41" s="14"/>
      <c r="I41" s="14"/>
      <c r="J41" s="14"/>
      <c r="K41" s="7"/>
      <c r="L41" s="22"/>
      <c r="M41" s="22"/>
      <c r="Q41" s="14"/>
      <c r="S41" s="187"/>
    </row>
    <row r="42" spans="1:32" x14ac:dyDescent="0.25">
      <c r="B42" s="14"/>
      <c r="C42" s="14"/>
      <c r="D42" s="14"/>
      <c r="E42" s="14"/>
      <c r="G42" s="14"/>
      <c r="H42" s="14"/>
      <c r="I42" s="14"/>
      <c r="J42" s="14"/>
      <c r="K42" s="7"/>
      <c r="L42" s="22"/>
      <c r="M42" s="22"/>
      <c r="Q42" s="14"/>
      <c r="S42" s="187"/>
      <c r="T42" s="14"/>
    </row>
    <row r="43" spans="1:32" x14ac:dyDescent="0.25">
      <c r="B43" s="14"/>
      <c r="C43" s="14"/>
      <c r="D43" s="14"/>
      <c r="E43" s="14"/>
      <c r="G43" s="14"/>
      <c r="H43" s="14"/>
      <c r="I43" s="14"/>
      <c r="J43" s="14"/>
      <c r="K43" s="7"/>
      <c r="L43" s="22"/>
      <c r="M43" s="22"/>
      <c r="Q43" s="14"/>
      <c r="S43" s="187"/>
      <c r="T43" s="14"/>
      <c r="U43" s="14"/>
      <c r="V43" s="14"/>
      <c r="W43" s="14"/>
      <c r="X43" s="14"/>
    </row>
    <row r="44" spans="1:32" x14ac:dyDescent="0.25">
      <c r="B44" s="14"/>
      <c r="C44" s="14"/>
      <c r="D44" s="14"/>
      <c r="E44" s="14"/>
      <c r="G44" s="14"/>
      <c r="H44" s="14"/>
      <c r="I44" s="14"/>
      <c r="J44" s="14"/>
      <c r="K44" s="7"/>
      <c r="L44" s="22"/>
      <c r="M44" s="22"/>
      <c r="Q44" s="14"/>
      <c r="S44" s="187"/>
      <c r="T44" s="14"/>
      <c r="U44" s="19"/>
      <c r="V44" s="20"/>
      <c r="W44" s="14"/>
      <c r="Z44" s="21"/>
    </row>
    <row r="45" spans="1:32" x14ac:dyDescent="0.25">
      <c r="A45" s="5"/>
      <c r="B45" s="6"/>
      <c r="C45" s="6"/>
      <c r="D45" s="6"/>
      <c r="E45" s="6"/>
      <c r="G45" s="14"/>
      <c r="H45" s="14"/>
      <c r="I45" s="14"/>
      <c r="J45" s="14"/>
      <c r="K45" s="7"/>
      <c r="L45" s="22"/>
      <c r="M45" s="22"/>
      <c r="Q45" s="14"/>
    </row>
    <row r="46" spans="1:32" x14ac:dyDescent="0.25">
      <c r="B46" s="14"/>
      <c r="C46" s="14"/>
      <c r="D46" s="14"/>
      <c r="E46" s="14"/>
      <c r="G46" s="14"/>
      <c r="H46" s="14"/>
      <c r="I46" s="14"/>
      <c r="J46" s="14"/>
      <c r="K46" s="7"/>
      <c r="L46" s="22"/>
      <c r="M46" s="22"/>
      <c r="Q46" s="14"/>
    </row>
    <row r="47" spans="1:32" x14ac:dyDescent="0.25">
      <c r="B47" s="14"/>
      <c r="C47" s="14"/>
      <c r="D47" s="14"/>
      <c r="E47" s="14"/>
      <c r="G47" s="14"/>
      <c r="H47" s="14"/>
      <c r="I47" s="14"/>
      <c r="J47" s="14"/>
      <c r="K47" s="7"/>
      <c r="L47" s="22"/>
      <c r="M47" s="22"/>
      <c r="Q47" s="14"/>
      <c r="AE47" s="14"/>
      <c r="AF47" s="22"/>
    </row>
    <row r="48" spans="1:32" x14ac:dyDescent="0.25">
      <c r="B48" s="14"/>
      <c r="C48" s="14"/>
      <c r="D48" s="14"/>
      <c r="E48" s="14"/>
      <c r="G48" s="14"/>
      <c r="H48" s="14"/>
      <c r="I48" s="14"/>
      <c r="J48" s="14"/>
      <c r="K48" s="7"/>
      <c r="L48" s="22"/>
      <c r="M48" s="22"/>
      <c r="Q48" s="14"/>
      <c r="AE48" s="14"/>
      <c r="AF48" s="22"/>
    </row>
    <row r="49" spans="2:32" x14ac:dyDescent="0.25">
      <c r="B49" s="14"/>
      <c r="C49" s="14"/>
      <c r="D49" s="14"/>
      <c r="E49" s="14"/>
      <c r="G49" s="14"/>
      <c r="H49" s="14"/>
      <c r="I49" s="14"/>
      <c r="J49" s="14"/>
      <c r="K49" s="7"/>
      <c r="L49" s="22"/>
      <c r="M49" s="22"/>
      <c r="Q49" s="14"/>
      <c r="S49" s="310"/>
      <c r="T49" s="310"/>
      <c r="U49" s="25"/>
      <c r="V49" s="25"/>
      <c r="W49" s="310"/>
      <c r="X49" s="310"/>
      <c r="Y49" s="318"/>
      <c r="Z49" s="318"/>
      <c r="AE49" s="14"/>
      <c r="AF49" s="22"/>
    </row>
    <row r="50" spans="2:32" x14ac:dyDescent="0.25">
      <c r="B50" s="14"/>
      <c r="C50" s="14"/>
      <c r="D50" s="14"/>
      <c r="E50" s="14"/>
      <c r="G50" s="14"/>
      <c r="H50" s="14"/>
      <c r="I50" s="14"/>
      <c r="J50" s="14"/>
      <c r="K50" s="7"/>
      <c r="L50" s="22"/>
      <c r="M50" s="22"/>
      <c r="Q50" s="14"/>
      <c r="R50" s="27"/>
      <c r="U50" s="25"/>
      <c r="V50" s="25"/>
      <c r="Y50" s="25"/>
      <c r="Z50" s="25"/>
      <c r="AE50" s="14"/>
      <c r="AF50" s="22"/>
    </row>
    <row r="51" spans="2:32" x14ac:dyDescent="0.25">
      <c r="B51" s="14"/>
      <c r="C51" s="14"/>
      <c r="D51" s="14"/>
      <c r="E51" s="14"/>
      <c r="G51" s="14"/>
      <c r="H51" s="14"/>
      <c r="I51" s="14"/>
      <c r="J51" s="14"/>
      <c r="K51" s="7"/>
      <c r="L51" s="22"/>
      <c r="M51" s="22"/>
      <c r="Q51" s="14"/>
      <c r="R51" s="27"/>
      <c r="U51" s="25"/>
      <c r="V51" s="25"/>
      <c r="Y51" s="25"/>
      <c r="Z51" s="25"/>
      <c r="AE51" s="14"/>
      <c r="AF51" s="22"/>
    </row>
    <row r="52" spans="2:32" x14ac:dyDescent="0.25">
      <c r="B52" s="14"/>
      <c r="C52" s="14"/>
      <c r="D52" s="14"/>
      <c r="E52" s="14"/>
      <c r="G52" s="14"/>
      <c r="H52" s="14"/>
      <c r="I52" s="14"/>
      <c r="J52" s="14"/>
      <c r="K52" s="7"/>
      <c r="L52" s="22"/>
      <c r="M52" s="22"/>
      <c r="Q52" s="14"/>
      <c r="R52" s="27"/>
      <c r="U52" s="25"/>
      <c r="V52" s="25"/>
      <c r="Y52" s="25"/>
      <c r="Z52" s="25"/>
      <c r="AE52" s="14"/>
      <c r="AF52" s="22"/>
    </row>
    <row r="53" spans="2:32" x14ac:dyDescent="0.25">
      <c r="B53" s="14"/>
      <c r="C53" s="14"/>
      <c r="D53" s="14"/>
      <c r="E53" s="14"/>
      <c r="G53" s="14"/>
      <c r="H53" s="14"/>
      <c r="I53" s="14"/>
      <c r="J53" s="14"/>
      <c r="K53" s="7"/>
      <c r="L53" s="22"/>
      <c r="M53" s="22"/>
      <c r="Q53" s="14"/>
      <c r="R53" s="27"/>
      <c r="U53" s="25"/>
      <c r="V53" s="25"/>
      <c r="Y53" s="25"/>
      <c r="Z53" s="25"/>
      <c r="AE53" s="14"/>
      <c r="AF53" s="22"/>
    </row>
    <row r="54" spans="2:32" x14ac:dyDescent="0.25">
      <c r="B54" s="14"/>
      <c r="C54" s="14"/>
      <c r="D54" s="14"/>
      <c r="E54" s="14"/>
      <c r="G54" s="14"/>
      <c r="H54" s="14"/>
      <c r="I54" s="14"/>
      <c r="J54" s="14"/>
      <c r="K54" s="7"/>
      <c r="L54" s="22"/>
      <c r="M54" s="22"/>
      <c r="Q54" s="14"/>
      <c r="R54" s="29"/>
      <c r="U54" s="30"/>
      <c r="V54" s="30"/>
      <c r="Y54" s="30"/>
      <c r="Z54" s="30"/>
      <c r="AA54" s="31"/>
      <c r="AB54" s="31"/>
      <c r="AC54" s="31"/>
      <c r="AE54" s="14"/>
      <c r="AF54" s="22"/>
    </row>
    <row r="55" spans="2:32" x14ac:dyDescent="0.25">
      <c r="B55" s="14"/>
      <c r="C55" s="14"/>
      <c r="D55" s="14"/>
      <c r="E55" s="14"/>
      <c r="G55" s="14"/>
      <c r="H55" s="14"/>
      <c r="I55" s="14"/>
      <c r="J55" s="14"/>
      <c r="K55" s="7"/>
      <c r="L55" s="22"/>
      <c r="M55" s="22"/>
      <c r="Q55" s="14"/>
      <c r="R55" s="27"/>
      <c r="U55" s="25"/>
      <c r="V55" s="25"/>
      <c r="Y55" s="25"/>
      <c r="Z55" s="25"/>
      <c r="AE55" s="14"/>
      <c r="AF55" s="22"/>
    </row>
    <row r="56" spans="2:32" x14ac:dyDescent="0.25">
      <c r="B56" s="14"/>
      <c r="C56" s="14"/>
      <c r="D56" s="14"/>
      <c r="E56" s="14"/>
      <c r="G56" s="14"/>
      <c r="H56" s="14"/>
      <c r="I56" s="14"/>
      <c r="J56" s="14"/>
      <c r="K56" s="7"/>
      <c r="L56" s="22"/>
      <c r="M56" s="22"/>
      <c r="Q56" s="14"/>
      <c r="R56" s="28"/>
      <c r="S56" s="24"/>
      <c r="U56" s="26"/>
      <c r="V56" s="26"/>
      <c r="Y56" s="26"/>
      <c r="Z56" s="26"/>
      <c r="AA56" s="5"/>
      <c r="AB56" s="5"/>
      <c r="AC56" s="5"/>
      <c r="AE56" s="14"/>
      <c r="AF56" s="22"/>
    </row>
    <row r="57" spans="2:32" x14ac:dyDescent="0.25">
      <c r="B57" s="14"/>
      <c r="C57" s="14"/>
      <c r="D57" s="14"/>
      <c r="E57" s="14"/>
      <c r="G57" s="14"/>
      <c r="H57" s="14"/>
      <c r="I57" s="14"/>
      <c r="J57" s="14"/>
      <c r="K57" s="7"/>
      <c r="L57" s="22"/>
      <c r="M57" s="22"/>
      <c r="Q57" s="14"/>
      <c r="R57" s="27"/>
      <c r="U57" s="25"/>
      <c r="V57" s="25"/>
      <c r="Y57" s="25"/>
      <c r="Z57" s="25"/>
      <c r="AE57" s="14"/>
      <c r="AF57" s="22"/>
    </row>
    <row r="58" spans="2:32" x14ac:dyDescent="0.25">
      <c r="B58" s="14"/>
      <c r="C58" s="14"/>
      <c r="D58" s="14"/>
      <c r="E58" s="14"/>
      <c r="G58" s="14"/>
      <c r="H58" s="14"/>
      <c r="I58" s="14"/>
      <c r="J58" s="14"/>
      <c r="K58" s="7"/>
      <c r="L58" s="22"/>
      <c r="M58" s="22"/>
      <c r="Q58" s="14"/>
      <c r="R58" s="27"/>
      <c r="U58" s="25"/>
      <c r="V58" s="25"/>
      <c r="Y58" s="25"/>
      <c r="Z58" s="25"/>
      <c r="AE58" s="1"/>
      <c r="AF58" s="22"/>
    </row>
    <row r="59" spans="2:32" x14ac:dyDescent="0.25">
      <c r="B59" s="14"/>
      <c r="C59" s="14"/>
      <c r="D59" s="14"/>
      <c r="E59" s="14"/>
      <c r="G59" s="14"/>
      <c r="H59" s="14"/>
      <c r="I59" s="14"/>
      <c r="J59" s="14"/>
      <c r="K59" s="7"/>
      <c r="L59" s="22"/>
      <c r="M59" s="22"/>
      <c r="Q59" s="14"/>
      <c r="R59" s="27"/>
      <c r="U59" s="25"/>
      <c r="V59" s="25"/>
      <c r="Y59" s="25"/>
      <c r="Z59" s="25"/>
      <c r="AF59" s="22"/>
    </row>
    <row r="60" spans="2:32" x14ac:dyDescent="0.25">
      <c r="B60" s="14"/>
      <c r="C60" s="14"/>
      <c r="D60" s="14"/>
      <c r="E60" s="14"/>
      <c r="G60" s="14"/>
      <c r="H60" s="14"/>
      <c r="I60" s="14"/>
      <c r="J60" s="14"/>
      <c r="K60" s="7"/>
      <c r="L60" s="22"/>
      <c r="M60" s="22"/>
      <c r="Q60" s="14"/>
      <c r="R60" s="27"/>
      <c r="U60" s="25"/>
      <c r="V60" s="25"/>
      <c r="Y60" s="25"/>
      <c r="Z60" s="25"/>
      <c r="AF60" s="22"/>
    </row>
    <row r="61" spans="2:32" x14ac:dyDescent="0.25">
      <c r="B61" s="14"/>
      <c r="C61" s="14"/>
      <c r="D61" s="14"/>
      <c r="E61" s="14"/>
      <c r="G61" s="14"/>
      <c r="H61" s="14"/>
      <c r="I61" s="14"/>
      <c r="J61" s="14"/>
      <c r="K61" s="7"/>
      <c r="L61" s="22"/>
      <c r="M61" s="22"/>
      <c r="Q61" s="14"/>
      <c r="R61" s="27"/>
      <c r="U61" s="25"/>
      <c r="V61" s="25"/>
      <c r="Y61" s="25"/>
      <c r="Z61" s="25"/>
      <c r="AF61" s="22"/>
    </row>
    <row r="62" spans="2:32" x14ac:dyDescent="0.25">
      <c r="B62" s="14"/>
      <c r="C62" s="14"/>
      <c r="D62" s="14"/>
      <c r="E62" s="14"/>
      <c r="G62" s="14"/>
      <c r="H62" s="14"/>
      <c r="I62" s="14"/>
      <c r="J62" s="14"/>
      <c r="K62" s="7"/>
      <c r="L62" s="22"/>
      <c r="M62" s="22"/>
      <c r="Q62" s="14"/>
      <c r="R62" s="27"/>
      <c r="U62" s="25"/>
      <c r="V62" s="25"/>
      <c r="Y62" s="25"/>
      <c r="Z62" s="25"/>
      <c r="AF62" s="22"/>
    </row>
    <row r="63" spans="2:32" x14ac:dyDescent="0.25">
      <c r="B63" s="14"/>
      <c r="C63" s="14"/>
      <c r="D63" s="14"/>
      <c r="E63" s="14"/>
      <c r="G63" s="14"/>
      <c r="H63" s="14"/>
      <c r="I63" s="14"/>
      <c r="J63" s="14"/>
      <c r="K63" s="7"/>
      <c r="L63" s="22"/>
      <c r="M63" s="22"/>
      <c r="Q63" s="14"/>
      <c r="R63" s="27"/>
      <c r="U63" s="25"/>
      <c r="V63" s="25"/>
      <c r="Y63" s="25"/>
      <c r="Z63" s="25"/>
      <c r="AF63" s="22"/>
    </row>
    <row r="64" spans="2:32" x14ac:dyDescent="0.25">
      <c r="B64" s="14"/>
      <c r="C64" s="14"/>
      <c r="D64" s="14"/>
      <c r="E64" s="14"/>
      <c r="G64" s="14"/>
      <c r="H64" s="14"/>
      <c r="I64" s="14"/>
      <c r="J64" s="14"/>
      <c r="K64" s="7"/>
      <c r="L64" s="22"/>
      <c r="M64" s="22"/>
      <c r="Q64" s="14"/>
      <c r="R64" s="27"/>
      <c r="U64" s="25"/>
      <c r="V64" s="25"/>
      <c r="Y64" s="25"/>
      <c r="Z64" s="25"/>
      <c r="AF64" s="22"/>
    </row>
    <row r="65" spans="2:32" x14ac:dyDescent="0.25">
      <c r="B65" s="14"/>
      <c r="C65" s="14"/>
      <c r="D65" s="14"/>
      <c r="E65" s="14"/>
      <c r="G65" s="14"/>
      <c r="H65" s="14"/>
      <c r="I65" s="14"/>
      <c r="J65" s="14"/>
      <c r="K65" s="7"/>
      <c r="L65" s="22"/>
      <c r="M65" s="22"/>
      <c r="Q65" s="14"/>
      <c r="R65" s="27"/>
      <c r="U65" s="25"/>
      <c r="V65" s="25"/>
      <c r="Y65" s="25"/>
      <c r="Z65" s="25"/>
      <c r="AF65" s="22"/>
    </row>
    <row r="66" spans="2:32" x14ac:dyDescent="0.25">
      <c r="B66" s="14"/>
      <c r="C66" s="14"/>
      <c r="D66" s="14"/>
      <c r="E66" s="14"/>
      <c r="G66" s="14"/>
      <c r="H66" s="14"/>
      <c r="I66" s="14"/>
      <c r="J66" s="14"/>
      <c r="K66" s="7"/>
      <c r="L66" s="22"/>
      <c r="M66" s="22"/>
      <c r="Q66" s="14"/>
      <c r="R66" s="27"/>
      <c r="U66" s="25"/>
      <c r="V66" s="25"/>
      <c r="Y66" s="25"/>
      <c r="Z66" s="25"/>
      <c r="AF66" s="22"/>
    </row>
    <row r="67" spans="2:32" x14ac:dyDescent="0.25">
      <c r="B67" s="14"/>
      <c r="C67" s="14"/>
      <c r="D67" s="14"/>
      <c r="E67" s="14"/>
      <c r="G67" s="14"/>
      <c r="H67" s="14"/>
      <c r="I67" s="14"/>
      <c r="J67" s="14"/>
      <c r="K67" s="7"/>
      <c r="L67" s="22"/>
      <c r="M67" s="22"/>
      <c r="Q67" s="14"/>
      <c r="R67" s="27"/>
      <c r="U67" s="25"/>
      <c r="V67" s="25"/>
      <c r="Y67" s="25"/>
      <c r="Z67" s="25"/>
      <c r="AF67" s="22"/>
    </row>
    <row r="68" spans="2:32" x14ac:dyDescent="0.25">
      <c r="B68" s="14"/>
      <c r="C68" s="14"/>
      <c r="D68" s="14"/>
      <c r="E68" s="14"/>
      <c r="G68" s="14"/>
      <c r="H68" s="14"/>
      <c r="I68" s="14"/>
      <c r="J68" s="14"/>
      <c r="K68" s="7"/>
      <c r="L68" s="22"/>
      <c r="M68" s="22"/>
      <c r="Q68" s="14"/>
      <c r="R68" s="27"/>
      <c r="U68" s="25"/>
      <c r="V68" s="25"/>
      <c r="Y68" s="25"/>
      <c r="Z68" s="25"/>
      <c r="AF68" s="22"/>
    </row>
    <row r="69" spans="2:32" x14ac:dyDescent="0.25">
      <c r="B69" s="14"/>
      <c r="C69" s="14"/>
      <c r="D69" s="14"/>
      <c r="E69" s="14"/>
      <c r="G69" s="14"/>
      <c r="H69" s="14"/>
      <c r="I69" s="14"/>
      <c r="J69" s="14"/>
      <c r="K69" s="7"/>
      <c r="L69" s="22"/>
      <c r="M69" s="22"/>
      <c r="Q69" s="14"/>
    </row>
    <row r="70" spans="2:32" x14ac:dyDescent="0.25">
      <c r="B70" s="14"/>
      <c r="C70" s="14"/>
      <c r="D70" s="14"/>
      <c r="E70" s="14"/>
      <c r="G70" s="14"/>
      <c r="H70" s="14"/>
      <c r="I70" s="14"/>
      <c r="J70" s="14"/>
      <c r="K70" s="7"/>
      <c r="L70" s="22"/>
      <c r="M70" s="22"/>
      <c r="Q70" s="14"/>
    </row>
    <row r="71" spans="2:32" x14ac:dyDescent="0.25">
      <c r="B71" s="14"/>
      <c r="C71" s="14"/>
      <c r="D71" s="14"/>
      <c r="E71" s="14"/>
      <c r="G71" s="14"/>
      <c r="H71" s="14"/>
      <c r="I71" s="14"/>
      <c r="J71" s="14"/>
      <c r="K71" s="7"/>
      <c r="L71" s="22"/>
      <c r="M71" s="22"/>
      <c r="Q71" s="14"/>
    </row>
    <row r="72" spans="2:32" x14ac:dyDescent="0.25">
      <c r="B72" s="14"/>
      <c r="C72" s="14"/>
      <c r="D72" s="14"/>
      <c r="E72" s="14"/>
      <c r="G72" s="14"/>
      <c r="H72" s="14"/>
      <c r="I72" s="14"/>
      <c r="J72" s="14"/>
      <c r="K72" s="7"/>
      <c r="L72" s="22"/>
      <c r="M72" s="22"/>
      <c r="Q72" s="14"/>
    </row>
    <row r="73" spans="2:32" x14ac:dyDescent="0.25">
      <c r="B73" s="14"/>
      <c r="C73" s="14"/>
      <c r="D73" s="14"/>
      <c r="E73" s="14"/>
      <c r="G73" s="14"/>
      <c r="H73" s="14"/>
      <c r="I73" s="14"/>
      <c r="J73" s="14"/>
      <c r="K73" s="7"/>
      <c r="L73" s="22"/>
      <c r="M73" s="22"/>
      <c r="Q73" s="14"/>
    </row>
    <row r="74" spans="2:32" x14ac:dyDescent="0.25">
      <c r="B74" s="14"/>
      <c r="C74" s="14"/>
      <c r="D74" s="14"/>
      <c r="E74" s="14"/>
      <c r="G74" s="14"/>
      <c r="H74" s="14"/>
      <c r="I74" s="14"/>
      <c r="J74" s="14"/>
      <c r="K74" s="7"/>
      <c r="L74" s="22"/>
      <c r="M74" s="22"/>
      <c r="Q74" s="14"/>
    </row>
    <row r="75" spans="2:32" x14ac:dyDescent="0.25">
      <c r="B75" s="14"/>
      <c r="C75" s="14"/>
      <c r="D75" s="14"/>
      <c r="E75" s="14"/>
      <c r="G75" s="14"/>
      <c r="H75" s="14"/>
      <c r="I75" s="14"/>
      <c r="J75" s="14"/>
      <c r="K75" s="7"/>
      <c r="L75" s="22"/>
      <c r="M75" s="22"/>
      <c r="Q75" s="14"/>
    </row>
    <row r="76" spans="2:32" x14ac:dyDescent="0.25">
      <c r="B76" s="14"/>
      <c r="C76" s="14"/>
      <c r="D76" s="14"/>
      <c r="E76" s="14"/>
      <c r="G76" s="14"/>
      <c r="H76" s="14"/>
      <c r="I76" s="14"/>
      <c r="J76" s="14"/>
      <c r="K76" s="7"/>
      <c r="L76" s="22"/>
      <c r="M76" s="22"/>
      <c r="Q76" s="14"/>
    </row>
    <row r="77" spans="2:32" x14ac:dyDescent="0.25">
      <c r="B77" s="14"/>
      <c r="C77" s="14"/>
      <c r="D77" s="14"/>
      <c r="E77" s="14"/>
      <c r="G77" s="14"/>
      <c r="H77" s="14"/>
      <c r="I77" s="14"/>
      <c r="J77" s="14"/>
      <c r="K77" s="7"/>
      <c r="L77" s="22"/>
      <c r="M77" s="22"/>
      <c r="Q77" s="14"/>
    </row>
    <row r="78" spans="2:32" x14ac:dyDescent="0.25">
      <c r="B78" s="14"/>
      <c r="C78" s="14"/>
      <c r="D78" s="14"/>
      <c r="E78" s="14"/>
      <c r="G78" s="14"/>
      <c r="H78" s="14"/>
      <c r="I78" s="14"/>
      <c r="J78" s="14"/>
      <c r="K78" s="7"/>
      <c r="L78" s="22"/>
      <c r="M78" s="22"/>
      <c r="Q78" s="14"/>
    </row>
    <row r="79" spans="2:32" x14ac:dyDescent="0.25">
      <c r="B79" s="14"/>
      <c r="C79" s="14"/>
      <c r="D79" s="14"/>
      <c r="E79" s="14"/>
      <c r="G79" s="14"/>
      <c r="H79" s="14"/>
      <c r="I79" s="14"/>
      <c r="J79" s="14"/>
      <c r="K79" s="7"/>
      <c r="L79" s="22"/>
      <c r="M79" s="22"/>
      <c r="Q79" s="14"/>
    </row>
    <row r="80" spans="2:32" x14ac:dyDescent="0.25">
      <c r="B80" s="14"/>
      <c r="C80" s="14"/>
      <c r="D80" s="14"/>
      <c r="E80" s="14"/>
      <c r="G80" s="14"/>
      <c r="H80" s="14"/>
      <c r="I80" s="14"/>
      <c r="J80" s="14"/>
      <c r="K80" s="7"/>
      <c r="L80" s="22"/>
      <c r="M80" s="22"/>
      <c r="Q80" s="14"/>
    </row>
    <row r="81" spans="1:33" x14ac:dyDescent="0.25">
      <c r="B81" s="14"/>
      <c r="C81" s="14"/>
      <c r="D81" s="14"/>
      <c r="E81" s="14"/>
      <c r="G81" s="14"/>
      <c r="H81" s="14"/>
      <c r="I81" s="14"/>
      <c r="J81" s="14"/>
      <c r="K81" s="7"/>
      <c r="L81" s="22"/>
      <c r="M81" s="22"/>
      <c r="O81" s="17"/>
      <c r="Q81" s="14"/>
    </row>
    <row r="82" spans="1:33" x14ac:dyDescent="0.25">
      <c r="S82" s="14"/>
      <c r="AE82" s="7"/>
      <c r="AF82" s="22"/>
      <c r="AG82" s="22"/>
    </row>
    <row r="83" spans="1:33" x14ac:dyDescent="0.25">
      <c r="M83" s="1"/>
      <c r="N83" s="14"/>
      <c r="O83" s="23"/>
      <c r="P83" s="14"/>
      <c r="Q83" s="14"/>
      <c r="R83" s="14"/>
      <c r="S83" s="14"/>
      <c r="AE83" s="7"/>
      <c r="AF83" s="22"/>
      <c r="AG83" s="22"/>
    </row>
    <row r="84" spans="1:33" x14ac:dyDescent="0.25">
      <c r="N84" s="14"/>
      <c r="O84" s="22"/>
      <c r="P84" s="14"/>
      <c r="Q84" s="14"/>
      <c r="R84" s="14"/>
      <c r="S84" s="14"/>
      <c r="AE84" s="7"/>
      <c r="AF84" s="22"/>
      <c r="AG84" s="22"/>
    </row>
    <row r="85" spans="1:33" x14ac:dyDescent="0.25">
      <c r="N85" s="14"/>
      <c r="O85" s="22"/>
      <c r="P85" s="14"/>
      <c r="Q85" s="14"/>
      <c r="R85" s="14"/>
      <c r="S85" s="14"/>
      <c r="AE85" s="7"/>
      <c r="AF85" s="22"/>
      <c r="AG85" s="22"/>
    </row>
    <row r="86" spans="1:33" x14ac:dyDescent="0.25">
      <c r="N86" s="14"/>
      <c r="O86" s="22"/>
      <c r="P86" s="14"/>
      <c r="Q86" s="14"/>
      <c r="R86" s="14"/>
      <c r="S86" s="14"/>
      <c r="AE86" s="7"/>
      <c r="AF86" s="22"/>
      <c r="AG86" s="22"/>
    </row>
    <row r="87" spans="1:33" x14ac:dyDescent="0.25">
      <c r="N87" s="14"/>
      <c r="O87" s="22"/>
      <c r="P87" s="14"/>
      <c r="Q87" s="14"/>
      <c r="R87" s="14"/>
      <c r="S87" s="14"/>
      <c r="AE87" s="7"/>
      <c r="AF87" s="22"/>
      <c r="AG87" s="22"/>
    </row>
    <row r="88" spans="1:33" x14ac:dyDescent="0.25">
      <c r="P88" s="14"/>
      <c r="Q88" s="14"/>
      <c r="R88" s="14"/>
      <c r="S88" s="14"/>
      <c r="AE88" s="7"/>
      <c r="AF88" s="22"/>
      <c r="AG88" s="22"/>
    </row>
    <row r="89" spans="1:33" x14ac:dyDescent="0.25">
      <c r="P89" s="14"/>
      <c r="Q89" s="14"/>
      <c r="R89" s="14"/>
      <c r="S89" s="14"/>
      <c r="AE89" s="7"/>
      <c r="AF89" s="22"/>
      <c r="AG89" s="22"/>
    </row>
    <row r="90" spans="1:33" x14ac:dyDescent="0.25">
      <c r="A90" s="1"/>
      <c r="P90" s="14"/>
      <c r="Q90" s="14"/>
      <c r="R90" s="14"/>
      <c r="S90" s="14"/>
      <c r="AE90" s="7"/>
      <c r="AF90" s="22"/>
      <c r="AG90" s="22"/>
    </row>
    <row r="91" spans="1:33" x14ac:dyDescent="0.25">
      <c r="P91" s="14"/>
      <c r="Q91" s="14"/>
      <c r="R91" s="14"/>
      <c r="S91" s="14"/>
      <c r="AE91" s="7"/>
      <c r="AF91" s="22"/>
      <c r="AG91" s="22"/>
    </row>
    <row r="92" spans="1:33" x14ac:dyDescent="0.25">
      <c r="P92" s="14"/>
      <c r="Q92" s="14"/>
      <c r="R92" s="14"/>
      <c r="S92" s="14"/>
      <c r="AE92" s="7"/>
      <c r="AF92" s="22"/>
      <c r="AG92" s="22"/>
    </row>
    <row r="93" spans="1:33" x14ac:dyDescent="0.25">
      <c r="P93" s="14"/>
      <c r="Q93" s="14"/>
      <c r="R93" s="14"/>
      <c r="S93" s="14"/>
      <c r="AE93" s="7"/>
      <c r="AF93" s="22"/>
      <c r="AG93" s="22"/>
    </row>
    <row r="94" spans="1:33" x14ac:dyDescent="0.25">
      <c r="C94" s="14"/>
      <c r="P94" s="14"/>
      <c r="Q94" s="14"/>
      <c r="R94" s="14"/>
      <c r="S94" s="14"/>
      <c r="AE94" s="7"/>
      <c r="AF94" s="22"/>
      <c r="AG94" s="22"/>
    </row>
    <row r="95" spans="1:33" x14ac:dyDescent="0.25">
      <c r="C95" s="14"/>
      <c r="P95" s="14"/>
      <c r="Q95" s="14"/>
      <c r="R95" s="14"/>
      <c r="S95" s="14"/>
      <c r="AE95" s="7"/>
      <c r="AF95" s="22"/>
      <c r="AG95" s="22"/>
    </row>
    <row r="96" spans="1:33" x14ac:dyDescent="0.25">
      <c r="C96" s="14"/>
      <c r="P96" s="14"/>
      <c r="Q96" s="14"/>
      <c r="R96" s="14"/>
      <c r="S96" s="14"/>
      <c r="AE96" s="7"/>
      <c r="AF96" s="22"/>
      <c r="AG96" s="22"/>
    </row>
    <row r="97" spans="3:35" x14ac:dyDescent="0.25">
      <c r="C97" s="14"/>
      <c r="P97" s="14"/>
      <c r="Q97" s="14"/>
      <c r="R97" s="14"/>
      <c r="S97" s="14"/>
      <c r="AE97" s="7"/>
      <c r="AF97" s="22"/>
      <c r="AG97" s="22"/>
    </row>
    <row r="98" spans="3:35" x14ac:dyDescent="0.25">
      <c r="C98" s="14"/>
      <c r="P98" s="14"/>
      <c r="Q98" s="14"/>
      <c r="R98" s="14"/>
      <c r="AE98" s="7"/>
      <c r="AF98" s="22"/>
      <c r="AG98" s="22"/>
    </row>
    <row r="99" spans="3:35" x14ac:dyDescent="0.25">
      <c r="C99" s="14"/>
      <c r="AE99" s="7"/>
      <c r="AF99" s="22"/>
      <c r="AG99" s="22"/>
    </row>
    <row r="100" spans="3:35" x14ac:dyDescent="0.25">
      <c r="C100" s="14"/>
      <c r="T100" s="5"/>
      <c r="U100" s="5"/>
      <c r="V100" s="5"/>
      <c r="W100" s="5"/>
      <c r="AE100" s="7"/>
      <c r="AF100" s="22"/>
      <c r="AG100" s="22"/>
    </row>
    <row r="101" spans="3:35" x14ac:dyDescent="0.25">
      <c r="C101" s="14"/>
      <c r="AE101" s="7"/>
      <c r="AF101" s="22"/>
      <c r="AG101" s="22"/>
    </row>
    <row r="102" spans="3:35" x14ac:dyDescent="0.25">
      <c r="C102" s="14"/>
      <c r="AE102" s="7"/>
      <c r="AF102" s="22"/>
      <c r="AG102" s="22"/>
    </row>
    <row r="103" spans="3:35" x14ac:dyDescent="0.25">
      <c r="C103" s="14"/>
      <c r="AE103" s="7"/>
      <c r="AF103" s="22"/>
      <c r="AG103" s="22"/>
    </row>
    <row r="104" spans="3:35" x14ac:dyDescent="0.25">
      <c r="C104" s="14"/>
      <c r="AE104" s="7"/>
      <c r="AF104" s="22"/>
      <c r="AG104" s="22"/>
    </row>
    <row r="105" spans="3:35" x14ac:dyDescent="0.25">
      <c r="C105" s="14"/>
      <c r="AE105" s="7"/>
      <c r="AF105" s="22"/>
      <c r="AG105" s="22"/>
    </row>
    <row r="106" spans="3:35" x14ac:dyDescent="0.25">
      <c r="C106" s="14"/>
      <c r="AE106" s="7"/>
      <c r="AF106" s="22"/>
      <c r="AG106" s="22"/>
    </row>
    <row r="107" spans="3:35" x14ac:dyDescent="0.25">
      <c r="C107" s="14"/>
      <c r="AG107" s="22"/>
    </row>
    <row r="108" spans="3:35" x14ac:dyDescent="0.25">
      <c r="C108" s="14"/>
      <c r="AG108" s="22"/>
    </row>
    <row r="109" spans="3:35" x14ac:dyDescent="0.25">
      <c r="C109" s="14"/>
      <c r="AG109" s="22"/>
    </row>
    <row r="110" spans="3:35" x14ac:dyDescent="0.25">
      <c r="C110" s="14"/>
      <c r="O110" s="22"/>
      <c r="AG110" s="22"/>
    </row>
    <row r="111" spans="3:35" x14ac:dyDescent="0.25">
      <c r="C111" s="14"/>
      <c r="O111" s="22"/>
      <c r="AG111" s="22"/>
    </row>
    <row r="112" spans="3:35" x14ac:dyDescent="0.25">
      <c r="O112" s="22"/>
      <c r="AG112" s="22">
        <f t="shared" ref="AG112:AG141" si="0">MAX(AH112,AI112)</f>
        <v>1</v>
      </c>
      <c r="AI112">
        <v>1</v>
      </c>
    </row>
    <row r="113" spans="15:35" x14ac:dyDescent="0.25">
      <c r="O113" s="22"/>
      <c r="AG113" s="22">
        <f t="shared" si="0"/>
        <v>1</v>
      </c>
      <c r="AI113">
        <v>1</v>
      </c>
    </row>
    <row r="114" spans="15:35" x14ac:dyDescent="0.25">
      <c r="O114" s="22"/>
      <c r="AG114" s="22">
        <f t="shared" si="0"/>
        <v>0</v>
      </c>
      <c r="AI114">
        <v>0</v>
      </c>
    </row>
    <row r="115" spans="15:35" x14ac:dyDescent="0.25">
      <c r="O115" s="22"/>
      <c r="AG115" s="22">
        <f t="shared" si="0"/>
        <v>0</v>
      </c>
      <c r="AI115">
        <v>0</v>
      </c>
    </row>
    <row r="116" spans="15:35" x14ac:dyDescent="0.25">
      <c r="O116" s="22"/>
      <c r="AG116" s="22">
        <f t="shared" si="0"/>
        <v>0</v>
      </c>
      <c r="AI116">
        <v>0</v>
      </c>
    </row>
    <row r="117" spans="15:35" x14ac:dyDescent="0.25">
      <c r="O117" s="22"/>
      <c r="AG117" s="22">
        <f t="shared" si="0"/>
        <v>0</v>
      </c>
      <c r="AI117">
        <v>0</v>
      </c>
    </row>
    <row r="118" spans="15:35" x14ac:dyDescent="0.25">
      <c r="O118" s="22"/>
      <c r="AG118" s="22">
        <f t="shared" si="0"/>
        <v>0</v>
      </c>
      <c r="AI118">
        <v>0</v>
      </c>
    </row>
    <row r="119" spans="15:35" x14ac:dyDescent="0.25">
      <c r="O119" s="22"/>
      <c r="AG119" s="22">
        <f t="shared" si="0"/>
        <v>0</v>
      </c>
      <c r="AI119">
        <v>0</v>
      </c>
    </row>
    <row r="120" spans="15:35" x14ac:dyDescent="0.25">
      <c r="O120" s="22"/>
      <c r="AG120" s="22">
        <f t="shared" si="0"/>
        <v>0</v>
      </c>
      <c r="AI120">
        <v>0</v>
      </c>
    </row>
    <row r="121" spans="15:35" x14ac:dyDescent="0.25">
      <c r="O121" s="22"/>
      <c r="AG121" s="22">
        <f t="shared" si="0"/>
        <v>0</v>
      </c>
      <c r="AI121">
        <v>0</v>
      </c>
    </row>
    <row r="122" spans="15:35" x14ac:dyDescent="0.25">
      <c r="O122" s="22"/>
      <c r="AG122" s="22">
        <f t="shared" si="0"/>
        <v>0</v>
      </c>
      <c r="AI122">
        <v>0</v>
      </c>
    </row>
    <row r="123" spans="15:35" x14ac:dyDescent="0.25">
      <c r="O123" s="22"/>
      <c r="AG123" s="22">
        <f t="shared" si="0"/>
        <v>0</v>
      </c>
      <c r="AI123">
        <v>0</v>
      </c>
    </row>
    <row r="124" spans="15:35" x14ac:dyDescent="0.25">
      <c r="O124" s="22"/>
      <c r="AG124" s="22">
        <f t="shared" si="0"/>
        <v>0</v>
      </c>
      <c r="AI124">
        <v>0</v>
      </c>
    </row>
    <row r="125" spans="15:35" x14ac:dyDescent="0.25">
      <c r="O125" s="22"/>
      <c r="AG125" s="22">
        <f t="shared" si="0"/>
        <v>0</v>
      </c>
      <c r="AI125">
        <v>0</v>
      </c>
    </row>
    <row r="126" spans="15:35" x14ac:dyDescent="0.25">
      <c r="O126" s="22"/>
      <c r="AG126" s="22">
        <f t="shared" si="0"/>
        <v>0</v>
      </c>
      <c r="AI126">
        <v>0</v>
      </c>
    </row>
    <row r="127" spans="15:35" x14ac:dyDescent="0.25">
      <c r="O127" s="1"/>
      <c r="AG127" s="22">
        <f t="shared" si="0"/>
        <v>0</v>
      </c>
      <c r="AI127">
        <v>0</v>
      </c>
    </row>
    <row r="128" spans="15:35" x14ac:dyDescent="0.25">
      <c r="AG128" s="22">
        <f t="shared" si="0"/>
        <v>0</v>
      </c>
      <c r="AI128">
        <v>0</v>
      </c>
    </row>
    <row r="129" spans="33:35" x14ac:dyDescent="0.25">
      <c r="AG129" s="22">
        <f t="shared" si="0"/>
        <v>0</v>
      </c>
      <c r="AI129">
        <v>0</v>
      </c>
    </row>
    <row r="130" spans="33:35" x14ac:dyDescent="0.25">
      <c r="AG130" s="22">
        <f t="shared" si="0"/>
        <v>0</v>
      </c>
      <c r="AI130">
        <v>0</v>
      </c>
    </row>
    <row r="131" spans="33:35" x14ac:dyDescent="0.25">
      <c r="AG131" s="22">
        <f t="shared" si="0"/>
        <v>0</v>
      </c>
      <c r="AI131">
        <v>0</v>
      </c>
    </row>
    <row r="132" spans="33:35" x14ac:dyDescent="0.25">
      <c r="AG132" s="22">
        <f t="shared" si="0"/>
        <v>0</v>
      </c>
      <c r="AI132">
        <v>0</v>
      </c>
    </row>
    <row r="133" spans="33:35" x14ac:dyDescent="0.25">
      <c r="AG133" s="22">
        <f t="shared" si="0"/>
        <v>0</v>
      </c>
      <c r="AI133">
        <v>0</v>
      </c>
    </row>
    <row r="134" spans="33:35" x14ac:dyDescent="0.25">
      <c r="AG134" s="22">
        <f t="shared" si="0"/>
        <v>0</v>
      </c>
      <c r="AI134">
        <v>0</v>
      </c>
    </row>
    <row r="135" spans="33:35" x14ac:dyDescent="0.25">
      <c r="AG135" s="22">
        <f t="shared" si="0"/>
        <v>0</v>
      </c>
      <c r="AI135">
        <v>0</v>
      </c>
    </row>
    <row r="136" spans="33:35" x14ac:dyDescent="0.25">
      <c r="AG136" s="22">
        <f t="shared" si="0"/>
        <v>0</v>
      </c>
      <c r="AI136">
        <v>0</v>
      </c>
    </row>
    <row r="137" spans="33:35" x14ac:dyDescent="0.25">
      <c r="AG137" s="22">
        <f t="shared" si="0"/>
        <v>0</v>
      </c>
      <c r="AI137">
        <v>0</v>
      </c>
    </row>
    <row r="138" spans="33:35" x14ac:dyDescent="0.25">
      <c r="AG138" s="22">
        <f t="shared" si="0"/>
        <v>0</v>
      </c>
      <c r="AI138">
        <v>0</v>
      </c>
    </row>
    <row r="139" spans="33:35" x14ac:dyDescent="0.25">
      <c r="AG139" s="22">
        <f t="shared" si="0"/>
        <v>0</v>
      </c>
      <c r="AI139">
        <v>0</v>
      </c>
    </row>
    <row r="140" spans="33:35" x14ac:dyDescent="0.25">
      <c r="AG140" s="22">
        <f t="shared" si="0"/>
        <v>0</v>
      </c>
      <c r="AI140">
        <v>0</v>
      </c>
    </row>
    <row r="141" spans="33:35" x14ac:dyDescent="0.25">
      <c r="AG141" s="22">
        <f t="shared" si="0"/>
        <v>0</v>
      </c>
      <c r="AI141">
        <v>0</v>
      </c>
    </row>
  </sheetData>
  <mergeCells count="5">
    <mergeCell ref="S40:S42"/>
    <mergeCell ref="S43:S44"/>
    <mergeCell ref="S49:T49"/>
    <mergeCell ref="W49:X49"/>
    <mergeCell ref="Y49:Z49"/>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pane xSplit="1" ySplit="2" topLeftCell="B3" activePane="bottomRight" state="frozen"/>
      <selection pane="topRight" activeCell="B1" sqref="B1"/>
      <selection pane="bottomLeft" activeCell="A3" sqref="A3"/>
      <selection pane="bottomRight" activeCell="B1" sqref="B1"/>
    </sheetView>
  </sheetViews>
  <sheetFormatPr baseColWidth="10" defaultRowHeight="15" x14ac:dyDescent="0.25"/>
  <cols>
    <col min="1" max="1" width="12" bestFit="1" customWidth="1"/>
    <col min="2" max="3" width="5" bestFit="1" customWidth="1"/>
    <col min="4" max="4" width="5.7109375" bestFit="1" customWidth="1"/>
    <col min="5" max="5" width="3" bestFit="1" customWidth="1"/>
    <col min="6" max="6" width="8.140625" bestFit="1" customWidth="1"/>
    <col min="7" max="7" width="7.28515625" bestFit="1" customWidth="1"/>
    <col min="9" max="9" width="13.7109375" bestFit="1" customWidth="1"/>
  </cols>
  <sheetData>
    <row r="1" spans="1:8" x14ac:dyDescent="0.25">
      <c r="F1" t="s">
        <v>110</v>
      </c>
    </row>
    <row r="2" spans="1:8" x14ac:dyDescent="0.25">
      <c r="A2" t="s">
        <v>93</v>
      </c>
      <c r="B2" t="s">
        <v>66</v>
      </c>
      <c r="C2" t="s">
        <v>67</v>
      </c>
      <c r="D2" t="s">
        <v>68</v>
      </c>
      <c r="E2" t="s">
        <v>69</v>
      </c>
      <c r="F2" s="33" t="s">
        <v>153</v>
      </c>
      <c r="G2" t="s">
        <v>154</v>
      </c>
    </row>
    <row r="3" spans="1:8" x14ac:dyDescent="0.25">
      <c r="A3" s="187" t="s">
        <v>95</v>
      </c>
      <c r="B3">
        <v>0.7</v>
      </c>
      <c r="C3">
        <v>17.5</v>
      </c>
      <c r="D3">
        <v>1.43</v>
      </c>
      <c r="E3">
        <v>0</v>
      </c>
      <c r="H3" t="s">
        <v>152</v>
      </c>
    </row>
    <row r="4" spans="1:8" x14ac:dyDescent="0.25">
      <c r="A4" s="187"/>
      <c r="B4">
        <f>B3</f>
        <v>0.7</v>
      </c>
      <c r="C4">
        <v>17.5</v>
      </c>
      <c r="D4">
        <v>1.43</v>
      </c>
      <c r="E4">
        <v>1</v>
      </c>
      <c r="F4">
        <f t="shared" ref="F4:F22" si="0">+C4+D4*E4</f>
        <v>18.93</v>
      </c>
      <c r="G4" s="17">
        <f t="shared" ref="G4:G22" si="1">+F4*B3</f>
        <v>13.250999999999999</v>
      </c>
      <c r="H4" t="s">
        <v>109</v>
      </c>
    </row>
    <row r="5" spans="1:8" x14ac:dyDescent="0.25">
      <c r="A5" s="187"/>
      <c r="B5">
        <f>B4</f>
        <v>0.7</v>
      </c>
      <c r="C5">
        <v>17.5</v>
      </c>
      <c r="D5">
        <v>1.43</v>
      </c>
      <c r="E5" s="24">
        <v>2</v>
      </c>
      <c r="F5">
        <f t="shared" si="0"/>
        <v>20.36</v>
      </c>
      <c r="G5" s="17">
        <f t="shared" si="1"/>
        <v>14.251999999999999</v>
      </c>
    </row>
    <row r="6" spans="1:8" x14ac:dyDescent="0.25">
      <c r="A6" s="187"/>
      <c r="B6">
        <f t="shared" ref="B6:B21" si="2">B5</f>
        <v>0.7</v>
      </c>
      <c r="C6">
        <v>17.5</v>
      </c>
      <c r="D6">
        <v>1.43</v>
      </c>
      <c r="E6" s="24">
        <v>3</v>
      </c>
      <c r="F6">
        <f t="shared" si="0"/>
        <v>21.79</v>
      </c>
      <c r="G6" s="17">
        <f t="shared" si="1"/>
        <v>15.252999999999998</v>
      </c>
    </row>
    <row r="7" spans="1:8" x14ac:dyDescent="0.25">
      <c r="A7" s="187"/>
      <c r="B7">
        <f t="shared" si="2"/>
        <v>0.7</v>
      </c>
      <c r="C7">
        <v>17.5</v>
      </c>
      <c r="D7">
        <v>1.43</v>
      </c>
      <c r="E7" s="34">
        <v>4</v>
      </c>
      <c r="F7">
        <f t="shared" si="0"/>
        <v>23.22</v>
      </c>
      <c r="G7" s="17">
        <f t="shared" si="1"/>
        <v>16.253999999999998</v>
      </c>
    </row>
    <row r="8" spans="1:8" x14ac:dyDescent="0.25">
      <c r="A8" s="187"/>
      <c r="B8">
        <f t="shared" si="2"/>
        <v>0.7</v>
      </c>
      <c r="C8">
        <v>17.5</v>
      </c>
      <c r="D8">
        <v>1.43</v>
      </c>
      <c r="E8" s="34">
        <v>5</v>
      </c>
      <c r="F8">
        <f t="shared" si="0"/>
        <v>24.65</v>
      </c>
      <c r="G8" s="17">
        <f t="shared" si="1"/>
        <v>17.254999999999999</v>
      </c>
    </row>
    <row r="9" spans="1:8" x14ac:dyDescent="0.25">
      <c r="A9" s="187"/>
      <c r="B9">
        <f t="shared" si="2"/>
        <v>0.7</v>
      </c>
      <c r="C9">
        <v>17.5</v>
      </c>
      <c r="D9">
        <v>1.43</v>
      </c>
      <c r="E9" s="24">
        <v>6</v>
      </c>
      <c r="F9">
        <f t="shared" si="0"/>
        <v>26.08</v>
      </c>
      <c r="G9" s="17">
        <f t="shared" si="1"/>
        <v>18.255999999999997</v>
      </c>
    </row>
    <row r="10" spans="1:8" x14ac:dyDescent="0.25">
      <c r="A10" s="187"/>
      <c r="B10">
        <f t="shared" si="2"/>
        <v>0.7</v>
      </c>
      <c r="C10">
        <v>17.5</v>
      </c>
      <c r="D10">
        <v>1.43</v>
      </c>
      <c r="E10">
        <v>7</v>
      </c>
      <c r="F10">
        <f t="shared" si="0"/>
        <v>27.509999999999998</v>
      </c>
      <c r="G10" s="17">
        <f t="shared" si="1"/>
        <v>19.256999999999998</v>
      </c>
    </row>
    <row r="11" spans="1:8" x14ac:dyDescent="0.25">
      <c r="A11" s="187"/>
      <c r="B11">
        <f t="shared" si="2"/>
        <v>0.7</v>
      </c>
      <c r="C11">
        <v>17.5</v>
      </c>
      <c r="D11">
        <v>1.43</v>
      </c>
      <c r="E11">
        <v>8</v>
      </c>
      <c r="F11">
        <f t="shared" si="0"/>
        <v>28.939999999999998</v>
      </c>
      <c r="G11" s="17">
        <f t="shared" si="1"/>
        <v>20.257999999999996</v>
      </c>
    </row>
    <row r="12" spans="1:8" x14ac:dyDescent="0.25">
      <c r="A12" s="187"/>
      <c r="B12">
        <f t="shared" si="2"/>
        <v>0.7</v>
      </c>
      <c r="C12">
        <v>17.5</v>
      </c>
      <c r="D12">
        <v>1.43</v>
      </c>
      <c r="E12">
        <v>9</v>
      </c>
      <c r="F12">
        <f t="shared" si="0"/>
        <v>30.369999999999997</v>
      </c>
      <c r="G12" s="17">
        <f t="shared" si="1"/>
        <v>21.258999999999997</v>
      </c>
    </row>
    <row r="13" spans="1:8" x14ac:dyDescent="0.25">
      <c r="A13" s="187"/>
      <c r="B13">
        <f t="shared" si="2"/>
        <v>0.7</v>
      </c>
      <c r="C13">
        <v>17.5</v>
      </c>
      <c r="D13">
        <v>1.43</v>
      </c>
      <c r="E13">
        <v>10</v>
      </c>
      <c r="F13">
        <f t="shared" si="0"/>
        <v>31.799999999999997</v>
      </c>
      <c r="G13" s="17">
        <f t="shared" si="1"/>
        <v>22.259999999999998</v>
      </c>
    </row>
    <row r="14" spans="1:8" x14ac:dyDescent="0.25">
      <c r="A14" s="187"/>
      <c r="B14">
        <f t="shared" si="2"/>
        <v>0.7</v>
      </c>
      <c r="C14">
        <v>17.5</v>
      </c>
      <c r="D14">
        <v>1.43</v>
      </c>
      <c r="E14">
        <v>11</v>
      </c>
      <c r="F14">
        <f t="shared" si="0"/>
        <v>33.229999999999997</v>
      </c>
      <c r="G14" s="17">
        <f t="shared" si="1"/>
        <v>23.260999999999996</v>
      </c>
    </row>
    <row r="15" spans="1:8" x14ac:dyDescent="0.25">
      <c r="A15" s="187"/>
      <c r="B15">
        <f t="shared" si="2"/>
        <v>0.7</v>
      </c>
      <c r="C15">
        <v>17.5</v>
      </c>
      <c r="D15">
        <v>1.43</v>
      </c>
      <c r="E15">
        <v>12</v>
      </c>
      <c r="F15">
        <f t="shared" si="0"/>
        <v>34.659999999999997</v>
      </c>
      <c r="G15" s="17">
        <f t="shared" si="1"/>
        <v>24.261999999999997</v>
      </c>
    </row>
    <row r="16" spans="1:8" x14ac:dyDescent="0.25">
      <c r="A16" s="187"/>
      <c r="B16">
        <f t="shared" si="2"/>
        <v>0.7</v>
      </c>
      <c r="C16">
        <v>17.5</v>
      </c>
      <c r="D16">
        <v>1.43</v>
      </c>
      <c r="E16">
        <v>13</v>
      </c>
      <c r="F16">
        <f t="shared" si="0"/>
        <v>36.090000000000003</v>
      </c>
      <c r="G16" s="17">
        <f t="shared" si="1"/>
        <v>25.263000000000002</v>
      </c>
    </row>
    <row r="17" spans="1:8" x14ac:dyDescent="0.25">
      <c r="A17" s="187"/>
      <c r="B17">
        <f t="shared" si="2"/>
        <v>0.7</v>
      </c>
      <c r="C17">
        <v>17.5</v>
      </c>
      <c r="D17">
        <v>1.43</v>
      </c>
      <c r="E17">
        <v>14</v>
      </c>
      <c r="F17">
        <f t="shared" si="0"/>
        <v>37.519999999999996</v>
      </c>
      <c r="G17" s="17">
        <f t="shared" si="1"/>
        <v>26.263999999999996</v>
      </c>
    </row>
    <row r="18" spans="1:8" x14ac:dyDescent="0.25">
      <c r="A18" s="187"/>
      <c r="B18">
        <f t="shared" si="2"/>
        <v>0.7</v>
      </c>
      <c r="C18">
        <v>17.5</v>
      </c>
      <c r="D18">
        <v>1.43</v>
      </c>
      <c r="E18">
        <v>15</v>
      </c>
      <c r="F18">
        <f t="shared" si="0"/>
        <v>38.950000000000003</v>
      </c>
      <c r="G18" s="17">
        <f t="shared" si="1"/>
        <v>27.265000000000001</v>
      </c>
    </row>
    <row r="19" spans="1:8" x14ac:dyDescent="0.25">
      <c r="A19" s="187"/>
      <c r="B19">
        <f t="shared" si="2"/>
        <v>0.7</v>
      </c>
      <c r="C19">
        <v>17.5</v>
      </c>
      <c r="D19">
        <v>1.43</v>
      </c>
      <c r="E19">
        <v>16</v>
      </c>
      <c r="F19">
        <f t="shared" si="0"/>
        <v>40.379999999999995</v>
      </c>
      <c r="G19" s="17">
        <f t="shared" si="1"/>
        <v>28.265999999999995</v>
      </c>
    </row>
    <row r="20" spans="1:8" x14ac:dyDescent="0.25">
      <c r="A20" s="187"/>
      <c r="B20">
        <f t="shared" si="2"/>
        <v>0.7</v>
      </c>
      <c r="C20">
        <v>17.5</v>
      </c>
      <c r="D20">
        <v>1.43</v>
      </c>
      <c r="E20">
        <v>17</v>
      </c>
      <c r="F20">
        <f t="shared" si="0"/>
        <v>41.81</v>
      </c>
      <c r="G20" s="17">
        <f t="shared" si="1"/>
        <v>29.266999999999999</v>
      </c>
    </row>
    <row r="21" spans="1:8" x14ac:dyDescent="0.25">
      <c r="A21" s="187"/>
      <c r="B21" s="35">
        <f t="shared" si="2"/>
        <v>0.7</v>
      </c>
      <c r="C21">
        <v>17.5</v>
      </c>
      <c r="D21">
        <v>1.43</v>
      </c>
      <c r="E21" s="35">
        <v>18</v>
      </c>
      <c r="F21">
        <f t="shared" si="0"/>
        <v>43.239999999999995</v>
      </c>
      <c r="G21" s="17">
        <f t="shared" si="1"/>
        <v>30.267999999999994</v>
      </c>
      <c r="H21" s="35"/>
    </row>
    <row r="22" spans="1:8" x14ac:dyDescent="0.25">
      <c r="A22" s="187"/>
      <c r="B22" s="35">
        <f t="shared" ref="B22" si="3">B21</f>
        <v>0.7</v>
      </c>
      <c r="C22">
        <v>17.5</v>
      </c>
      <c r="D22">
        <v>1.43</v>
      </c>
      <c r="E22" s="35">
        <v>19</v>
      </c>
      <c r="F22">
        <f t="shared" si="0"/>
        <v>44.67</v>
      </c>
      <c r="G22" s="17">
        <f t="shared" si="1"/>
        <v>31.268999999999998</v>
      </c>
      <c r="H22" s="35"/>
    </row>
    <row r="23" spans="1:8" x14ac:dyDescent="0.25">
      <c r="A23" s="187" t="s">
        <v>94</v>
      </c>
      <c r="B23" s="41">
        <v>0.35</v>
      </c>
      <c r="C23" s="42">
        <v>2</v>
      </c>
      <c r="D23" s="42">
        <v>2.9</v>
      </c>
      <c r="E23" s="42">
        <v>0</v>
      </c>
      <c r="H23" t="s">
        <v>108</v>
      </c>
    </row>
    <row r="24" spans="1:8" x14ac:dyDescent="0.25">
      <c r="A24" s="187"/>
      <c r="B24" s="38">
        <v>0.35</v>
      </c>
      <c r="C24" s="27">
        <v>2</v>
      </c>
      <c r="D24" s="27">
        <v>2.9</v>
      </c>
      <c r="E24" s="27">
        <v>1</v>
      </c>
      <c r="F24">
        <f t="shared" ref="F24:F42" si="4">+C24+D24*E24</f>
        <v>4.9000000000000004</v>
      </c>
      <c r="G24" s="17">
        <f t="shared" ref="G24:G42" si="5">+F24*B23</f>
        <v>1.7150000000000001</v>
      </c>
    </row>
    <row r="25" spans="1:8" x14ac:dyDescent="0.25">
      <c r="A25" s="187"/>
      <c r="B25" s="38">
        <f>B24</f>
        <v>0.35</v>
      </c>
      <c r="C25" s="27">
        <f>C24</f>
        <v>2</v>
      </c>
      <c r="D25" s="27">
        <f>D24</f>
        <v>2.9</v>
      </c>
      <c r="E25" s="36">
        <v>2</v>
      </c>
      <c r="F25">
        <f t="shared" si="4"/>
        <v>7.8</v>
      </c>
      <c r="G25" s="17">
        <f t="shared" si="5"/>
        <v>2.73</v>
      </c>
    </row>
    <row r="26" spans="1:8" x14ac:dyDescent="0.25">
      <c r="A26" s="187"/>
      <c r="B26" s="38">
        <f t="shared" ref="B26:B42" si="6">B25</f>
        <v>0.35</v>
      </c>
      <c r="C26" s="27">
        <f t="shared" ref="C26:C42" si="7">C25</f>
        <v>2</v>
      </c>
      <c r="D26" s="27">
        <f t="shared" ref="D26:D42" si="8">D25</f>
        <v>2.9</v>
      </c>
      <c r="E26" s="36">
        <v>3</v>
      </c>
      <c r="F26">
        <f t="shared" si="4"/>
        <v>10.7</v>
      </c>
      <c r="G26" s="17">
        <f t="shared" si="5"/>
        <v>3.7449999999999997</v>
      </c>
    </row>
    <row r="27" spans="1:8" x14ac:dyDescent="0.25">
      <c r="A27" s="187"/>
      <c r="B27" s="38">
        <f t="shared" si="6"/>
        <v>0.35</v>
      </c>
      <c r="C27" s="27">
        <f t="shared" si="7"/>
        <v>2</v>
      </c>
      <c r="D27" s="27">
        <f t="shared" si="8"/>
        <v>2.9</v>
      </c>
      <c r="E27" s="37">
        <v>4</v>
      </c>
      <c r="F27">
        <f t="shared" si="4"/>
        <v>13.6</v>
      </c>
      <c r="G27" s="17">
        <f t="shared" si="5"/>
        <v>4.76</v>
      </c>
    </row>
    <row r="28" spans="1:8" x14ac:dyDescent="0.25">
      <c r="A28" s="187"/>
      <c r="B28" s="38">
        <f t="shared" si="6"/>
        <v>0.35</v>
      </c>
      <c r="C28" s="27">
        <f t="shared" si="7"/>
        <v>2</v>
      </c>
      <c r="D28" s="27">
        <f t="shared" si="8"/>
        <v>2.9</v>
      </c>
      <c r="E28" s="37">
        <v>5</v>
      </c>
      <c r="F28">
        <f t="shared" si="4"/>
        <v>16.5</v>
      </c>
      <c r="G28" s="43">
        <f t="shared" si="5"/>
        <v>5.7749999999999995</v>
      </c>
    </row>
    <row r="29" spans="1:8" x14ac:dyDescent="0.25">
      <c r="A29" s="187"/>
      <c r="B29" s="38">
        <f t="shared" si="6"/>
        <v>0.35</v>
      </c>
      <c r="C29" s="27">
        <f t="shared" si="7"/>
        <v>2</v>
      </c>
      <c r="D29" s="27">
        <f t="shared" si="8"/>
        <v>2.9</v>
      </c>
      <c r="E29" s="36">
        <v>6</v>
      </c>
      <c r="F29">
        <f t="shared" si="4"/>
        <v>19.399999999999999</v>
      </c>
      <c r="G29" s="43">
        <f t="shared" si="5"/>
        <v>6.7899999999999991</v>
      </c>
    </row>
    <row r="30" spans="1:8" x14ac:dyDescent="0.25">
      <c r="A30" s="187"/>
      <c r="B30" s="38">
        <f t="shared" si="6"/>
        <v>0.35</v>
      </c>
      <c r="C30" s="27">
        <f t="shared" si="7"/>
        <v>2</v>
      </c>
      <c r="D30" s="27">
        <f t="shared" si="8"/>
        <v>2.9</v>
      </c>
      <c r="E30" s="27">
        <v>7</v>
      </c>
      <c r="F30">
        <f t="shared" si="4"/>
        <v>22.3</v>
      </c>
      <c r="G30" s="17">
        <f t="shared" si="5"/>
        <v>7.8049999999999997</v>
      </c>
    </row>
    <row r="31" spans="1:8" x14ac:dyDescent="0.25">
      <c r="A31" s="187"/>
      <c r="B31" s="38">
        <f t="shared" si="6"/>
        <v>0.35</v>
      </c>
      <c r="C31" s="27">
        <f t="shared" si="7"/>
        <v>2</v>
      </c>
      <c r="D31" s="27">
        <f t="shared" si="8"/>
        <v>2.9</v>
      </c>
      <c r="E31" s="27">
        <v>8</v>
      </c>
      <c r="F31">
        <f t="shared" si="4"/>
        <v>25.2</v>
      </c>
      <c r="G31" s="17">
        <f t="shared" si="5"/>
        <v>8.8199999999999985</v>
      </c>
    </row>
    <row r="32" spans="1:8" x14ac:dyDescent="0.25">
      <c r="A32" s="187"/>
      <c r="B32" s="38">
        <f t="shared" si="6"/>
        <v>0.35</v>
      </c>
      <c r="C32" s="27">
        <f t="shared" si="7"/>
        <v>2</v>
      </c>
      <c r="D32" s="27">
        <f t="shared" si="8"/>
        <v>2.9</v>
      </c>
      <c r="E32" s="27">
        <v>9</v>
      </c>
      <c r="F32">
        <f t="shared" si="4"/>
        <v>28.099999999999998</v>
      </c>
      <c r="G32" s="17">
        <f t="shared" si="5"/>
        <v>9.8349999999999991</v>
      </c>
    </row>
    <row r="33" spans="1:7" x14ac:dyDescent="0.25">
      <c r="A33" s="187"/>
      <c r="B33" s="38">
        <f t="shared" si="6"/>
        <v>0.35</v>
      </c>
      <c r="C33" s="27">
        <f t="shared" si="7"/>
        <v>2</v>
      </c>
      <c r="D33" s="27">
        <f t="shared" si="8"/>
        <v>2.9</v>
      </c>
      <c r="E33" s="27">
        <v>10</v>
      </c>
      <c r="F33">
        <f t="shared" si="4"/>
        <v>31</v>
      </c>
      <c r="G33" s="17">
        <f t="shared" si="5"/>
        <v>10.85</v>
      </c>
    </row>
    <row r="34" spans="1:7" x14ac:dyDescent="0.25">
      <c r="A34" s="187"/>
      <c r="B34" s="38">
        <f t="shared" si="6"/>
        <v>0.35</v>
      </c>
      <c r="C34" s="27">
        <f t="shared" si="7"/>
        <v>2</v>
      </c>
      <c r="D34" s="27">
        <f t="shared" si="8"/>
        <v>2.9</v>
      </c>
      <c r="E34" s="27">
        <v>11</v>
      </c>
      <c r="F34">
        <f t="shared" si="4"/>
        <v>33.9</v>
      </c>
      <c r="G34" s="17">
        <f t="shared" si="5"/>
        <v>11.864999999999998</v>
      </c>
    </row>
    <row r="35" spans="1:7" x14ac:dyDescent="0.25">
      <c r="A35" s="187"/>
      <c r="B35" s="38">
        <f t="shared" si="6"/>
        <v>0.35</v>
      </c>
      <c r="C35" s="27">
        <f t="shared" si="7"/>
        <v>2</v>
      </c>
      <c r="D35" s="27">
        <f t="shared" si="8"/>
        <v>2.9</v>
      </c>
      <c r="E35" s="27">
        <v>12</v>
      </c>
      <c r="F35">
        <f t="shared" si="4"/>
        <v>36.799999999999997</v>
      </c>
      <c r="G35" s="17">
        <f t="shared" si="5"/>
        <v>12.879999999999999</v>
      </c>
    </row>
    <row r="36" spans="1:7" x14ac:dyDescent="0.25">
      <c r="A36" s="187"/>
      <c r="B36" s="38">
        <f t="shared" si="6"/>
        <v>0.35</v>
      </c>
      <c r="C36" s="27">
        <f t="shared" si="7"/>
        <v>2</v>
      </c>
      <c r="D36" s="27">
        <f t="shared" si="8"/>
        <v>2.9</v>
      </c>
      <c r="E36" s="27">
        <v>13</v>
      </c>
      <c r="F36">
        <f t="shared" si="4"/>
        <v>39.699999999999996</v>
      </c>
      <c r="G36" s="17">
        <f t="shared" si="5"/>
        <v>13.894999999999998</v>
      </c>
    </row>
    <row r="37" spans="1:7" x14ac:dyDescent="0.25">
      <c r="A37" s="187"/>
      <c r="B37" s="38">
        <f t="shared" si="6"/>
        <v>0.35</v>
      </c>
      <c r="C37" s="27">
        <f t="shared" si="7"/>
        <v>2</v>
      </c>
      <c r="D37" s="27">
        <f t="shared" si="8"/>
        <v>2.9</v>
      </c>
      <c r="E37" s="27">
        <v>14</v>
      </c>
      <c r="F37">
        <f t="shared" si="4"/>
        <v>42.6</v>
      </c>
      <c r="G37" s="17">
        <f t="shared" si="5"/>
        <v>14.91</v>
      </c>
    </row>
    <row r="38" spans="1:7" x14ac:dyDescent="0.25">
      <c r="A38" s="187"/>
      <c r="B38" s="38">
        <f t="shared" si="6"/>
        <v>0.35</v>
      </c>
      <c r="C38" s="27">
        <f t="shared" si="7"/>
        <v>2</v>
      </c>
      <c r="D38" s="27">
        <f t="shared" si="8"/>
        <v>2.9</v>
      </c>
      <c r="E38" s="27">
        <v>15</v>
      </c>
      <c r="F38">
        <f t="shared" si="4"/>
        <v>45.5</v>
      </c>
      <c r="G38" s="17">
        <f t="shared" si="5"/>
        <v>15.924999999999999</v>
      </c>
    </row>
    <row r="39" spans="1:7" x14ac:dyDescent="0.25">
      <c r="A39" s="187"/>
      <c r="B39" s="38">
        <f t="shared" si="6"/>
        <v>0.35</v>
      </c>
      <c r="C39" s="27">
        <f t="shared" si="7"/>
        <v>2</v>
      </c>
      <c r="D39" s="27">
        <f t="shared" si="8"/>
        <v>2.9</v>
      </c>
      <c r="E39" s="27">
        <v>16</v>
      </c>
      <c r="F39">
        <f t="shared" si="4"/>
        <v>48.4</v>
      </c>
      <c r="G39" s="17">
        <f t="shared" si="5"/>
        <v>16.939999999999998</v>
      </c>
    </row>
    <row r="40" spans="1:7" x14ac:dyDescent="0.25">
      <c r="A40" s="187"/>
      <c r="B40" s="38">
        <f t="shared" si="6"/>
        <v>0.35</v>
      </c>
      <c r="C40" s="27">
        <f t="shared" si="7"/>
        <v>2</v>
      </c>
      <c r="D40" s="27">
        <f t="shared" si="8"/>
        <v>2.9</v>
      </c>
      <c r="E40" s="27">
        <v>17</v>
      </c>
      <c r="F40">
        <f t="shared" si="4"/>
        <v>51.3</v>
      </c>
      <c r="G40" s="17">
        <f t="shared" si="5"/>
        <v>17.954999999999998</v>
      </c>
    </row>
    <row r="41" spans="1:7" x14ac:dyDescent="0.25">
      <c r="A41" s="187"/>
      <c r="B41" s="38">
        <f t="shared" si="6"/>
        <v>0.35</v>
      </c>
      <c r="C41" s="27">
        <f t="shared" si="7"/>
        <v>2</v>
      </c>
      <c r="D41" s="27">
        <f t="shared" si="8"/>
        <v>2.9</v>
      </c>
      <c r="E41" s="27">
        <v>18</v>
      </c>
      <c r="F41">
        <f t="shared" si="4"/>
        <v>54.199999999999996</v>
      </c>
      <c r="G41" s="17">
        <f t="shared" si="5"/>
        <v>18.97</v>
      </c>
    </row>
    <row r="42" spans="1:7" ht="15.75" thickBot="1" x14ac:dyDescent="0.3">
      <c r="A42" s="187"/>
      <c r="B42" s="39">
        <f t="shared" si="6"/>
        <v>0.35</v>
      </c>
      <c r="C42" s="40">
        <f t="shared" si="7"/>
        <v>2</v>
      </c>
      <c r="D42" s="40">
        <f t="shared" si="8"/>
        <v>2.9</v>
      </c>
      <c r="E42" s="40">
        <v>19</v>
      </c>
      <c r="F42">
        <f t="shared" si="4"/>
        <v>57.1</v>
      </c>
      <c r="G42" s="17">
        <f t="shared" si="5"/>
        <v>19.984999999999999</v>
      </c>
    </row>
    <row r="43" spans="1:7" x14ac:dyDescent="0.25">
      <c r="A43" s="187" t="s">
        <v>163</v>
      </c>
      <c r="B43" s="41">
        <v>0.35</v>
      </c>
      <c r="C43" s="42">
        <f>C44</f>
        <v>19.399999999999999</v>
      </c>
      <c r="D43" s="42">
        <v>0</v>
      </c>
      <c r="E43" s="42">
        <v>0</v>
      </c>
    </row>
    <row r="44" spans="1:7" x14ac:dyDescent="0.25">
      <c r="A44" s="187"/>
      <c r="B44" s="38">
        <v>0.35</v>
      </c>
      <c r="C44" s="27">
        <f>+G29/B44</f>
        <v>19.399999999999999</v>
      </c>
      <c r="D44" s="42">
        <v>0</v>
      </c>
      <c r="E44" s="27">
        <v>1</v>
      </c>
      <c r="F44">
        <f t="shared" ref="F44:F62" si="9">+C44+D44*E44</f>
        <v>19.399999999999999</v>
      </c>
      <c r="G44" s="17">
        <f t="shared" ref="G44:G62" si="10">+F44*B43</f>
        <v>6.7899999999999991</v>
      </c>
    </row>
    <row r="45" spans="1:7" x14ac:dyDescent="0.25">
      <c r="A45" s="187"/>
      <c r="B45" s="38">
        <f>B44</f>
        <v>0.35</v>
      </c>
      <c r="C45" s="27">
        <f>C44</f>
        <v>19.399999999999999</v>
      </c>
      <c r="D45" s="42">
        <v>0</v>
      </c>
      <c r="E45" s="36">
        <v>2</v>
      </c>
      <c r="F45">
        <f t="shared" si="9"/>
        <v>19.399999999999999</v>
      </c>
      <c r="G45" s="17">
        <f t="shared" si="10"/>
        <v>6.7899999999999991</v>
      </c>
    </row>
    <row r="46" spans="1:7" x14ac:dyDescent="0.25">
      <c r="A46" s="187"/>
      <c r="B46" s="38">
        <f t="shared" ref="B46:C61" si="11">B45</f>
        <v>0.35</v>
      </c>
      <c r="C46" s="27">
        <f t="shared" si="11"/>
        <v>19.399999999999999</v>
      </c>
      <c r="D46" s="42">
        <v>0</v>
      </c>
      <c r="E46" s="36">
        <v>3</v>
      </c>
      <c r="F46">
        <f t="shared" si="9"/>
        <v>19.399999999999999</v>
      </c>
      <c r="G46" s="17">
        <f t="shared" si="10"/>
        <v>6.7899999999999991</v>
      </c>
    </row>
    <row r="47" spans="1:7" x14ac:dyDescent="0.25">
      <c r="A47" s="187"/>
      <c r="B47" s="38">
        <f t="shared" si="11"/>
        <v>0.35</v>
      </c>
      <c r="C47" s="27">
        <f t="shared" si="11"/>
        <v>19.399999999999999</v>
      </c>
      <c r="D47" s="42">
        <v>0</v>
      </c>
      <c r="E47" s="37">
        <v>4</v>
      </c>
      <c r="F47">
        <f t="shared" si="9"/>
        <v>19.399999999999999</v>
      </c>
      <c r="G47" s="17">
        <f t="shared" si="10"/>
        <v>6.7899999999999991</v>
      </c>
    </row>
    <row r="48" spans="1:7" x14ac:dyDescent="0.25">
      <c r="A48" s="187"/>
      <c r="B48" s="38">
        <f t="shared" si="11"/>
        <v>0.35</v>
      </c>
      <c r="C48" s="27">
        <f t="shared" si="11"/>
        <v>19.399999999999999</v>
      </c>
      <c r="D48" s="42">
        <v>0</v>
      </c>
      <c r="E48" s="37">
        <v>5</v>
      </c>
      <c r="F48">
        <f t="shared" si="9"/>
        <v>19.399999999999999</v>
      </c>
      <c r="G48" s="43">
        <f t="shared" si="10"/>
        <v>6.7899999999999991</v>
      </c>
    </row>
    <row r="49" spans="1:7" x14ac:dyDescent="0.25">
      <c r="A49" s="187"/>
      <c r="B49" s="38">
        <f t="shared" si="11"/>
        <v>0.35</v>
      </c>
      <c r="C49" s="27">
        <f t="shared" si="11"/>
        <v>19.399999999999999</v>
      </c>
      <c r="D49" s="42">
        <v>0</v>
      </c>
      <c r="E49" s="36">
        <v>6</v>
      </c>
      <c r="F49">
        <f t="shared" si="9"/>
        <v>19.399999999999999</v>
      </c>
      <c r="G49" s="43">
        <f t="shared" si="10"/>
        <v>6.7899999999999991</v>
      </c>
    </row>
    <row r="50" spans="1:7" x14ac:dyDescent="0.25">
      <c r="A50" s="187"/>
      <c r="B50" s="38">
        <f t="shared" si="11"/>
        <v>0.35</v>
      </c>
      <c r="C50" s="27">
        <f t="shared" si="11"/>
        <v>19.399999999999999</v>
      </c>
      <c r="D50" s="42">
        <v>0</v>
      </c>
      <c r="E50" s="27">
        <v>7</v>
      </c>
      <c r="F50">
        <f t="shared" si="9"/>
        <v>19.399999999999999</v>
      </c>
      <c r="G50" s="17">
        <f t="shared" si="10"/>
        <v>6.7899999999999991</v>
      </c>
    </row>
    <row r="51" spans="1:7" x14ac:dyDescent="0.25">
      <c r="A51" s="187"/>
      <c r="B51" s="38">
        <f t="shared" si="11"/>
        <v>0.35</v>
      </c>
      <c r="C51" s="27">
        <f t="shared" si="11"/>
        <v>19.399999999999999</v>
      </c>
      <c r="D51" s="42">
        <v>0</v>
      </c>
      <c r="E51" s="27">
        <v>8</v>
      </c>
      <c r="F51">
        <f t="shared" si="9"/>
        <v>19.399999999999999</v>
      </c>
      <c r="G51" s="17">
        <f t="shared" si="10"/>
        <v>6.7899999999999991</v>
      </c>
    </row>
    <row r="52" spans="1:7" x14ac:dyDescent="0.25">
      <c r="A52" s="187"/>
      <c r="B52" s="38">
        <f t="shared" si="11"/>
        <v>0.35</v>
      </c>
      <c r="C52" s="27">
        <f t="shared" si="11"/>
        <v>19.399999999999999</v>
      </c>
      <c r="D52" s="42">
        <v>0</v>
      </c>
      <c r="E52" s="27">
        <v>9</v>
      </c>
      <c r="F52">
        <f t="shared" si="9"/>
        <v>19.399999999999999</v>
      </c>
      <c r="G52" s="17">
        <f t="shared" si="10"/>
        <v>6.7899999999999991</v>
      </c>
    </row>
    <row r="53" spans="1:7" x14ac:dyDescent="0.25">
      <c r="A53" s="187"/>
      <c r="B53" s="38">
        <f t="shared" si="11"/>
        <v>0.35</v>
      </c>
      <c r="C53" s="27">
        <f t="shared" si="11"/>
        <v>19.399999999999999</v>
      </c>
      <c r="D53" s="42">
        <v>0</v>
      </c>
      <c r="E53" s="27">
        <v>10</v>
      </c>
      <c r="F53">
        <f t="shared" si="9"/>
        <v>19.399999999999999</v>
      </c>
      <c r="G53" s="17">
        <f t="shared" si="10"/>
        <v>6.7899999999999991</v>
      </c>
    </row>
    <row r="54" spans="1:7" x14ac:dyDescent="0.25">
      <c r="A54" s="187"/>
      <c r="B54" s="38">
        <f t="shared" si="11"/>
        <v>0.35</v>
      </c>
      <c r="C54" s="27">
        <f t="shared" si="11"/>
        <v>19.399999999999999</v>
      </c>
      <c r="D54" s="42">
        <v>0</v>
      </c>
      <c r="E54" s="27">
        <v>11</v>
      </c>
      <c r="F54">
        <f t="shared" si="9"/>
        <v>19.399999999999999</v>
      </c>
      <c r="G54" s="17">
        <f t="shared" si="10"/>
        <v>6.7899999999999991</v>
      </c>
    </row>
    <row r="55" spans="1:7" x14ac:dyDescent="0.25">
      <c r="A55" s="187"/>
      <c r="B55" s="38">
        <f t="shared" si="11"/>
        <v>0.35</v>
      </c>
      <c r="C55" s="27">
        <f t="shared" si="11"/>
        <v>19.399999999999999</v>
      </c>
      <c r="D55" s="42">
        <v>0</v>
      </c>
      <c r="E55" s="27">
        <v>12</v>
      </c>
      <c r="F55">
        <f t="shared" si="9"/>
        <v>19.399999999999999</v>
      </c>
      <c r="G55" s="17">
        <f t="shared" si="10"/>
        <v>6.7899999999999991</v>
      </c>
    </row>
    <row r="56" spans="1:7" x14ac:dyDescent="0.25">
      <c r="A56" s="187"/>
      <c r="B56" s="38">
        <f t="shared" si="11"/>
        <v>0.35</v>
      </c>
      <c r="C56" s="27">
        <f t="shared" si="11"/>
        <v>19.399999999999999</v>
      </c>
      <c r="D56" s="42">
        <v>0</v>
      </c>
      <c r="E56" s="27">
        <v>13</v>
      </c>
      <c r="F56">
        <f t="shared" si="9"/>
        <v>19.399999999999999</v>
      </c>
      <c r="G56" s="17">
        <f t="shared" si="10"/>
        <v>6.7899999999999991</v>
      </c>
    </row>
    <row r="57" spans="1:7" x14ac:dyDescent="0.25">
      <c r="A57" s="187"/>
      <c r="B57" s="38">
        <f t="shared" si="11"/>
        <v>0.35</v>
      </c>
      <c r="C57" s="27">
        <f t="shared" si="11"/>
        <v>19.399999999999999</v>
      </c>
      <c r="D57" s="42">
        <v>0</v>
      </c>
      <c r="E57" s="27">
        <v>14</v>
      </c>
      <c r="F57">
        <f t="shared" si="9"/>
        <v>19.399999999999999</v>
      </c>
      <c r="G57" s="17">
        <f t="shared" si="10"/>
        <v>6.7899999999999991</v>
      </c>
    </row>
    <row r="58" spans="1:7" x14ac:dyDescent="0.25">
      <c r="A58" s="187"/>
      <c r="B58" s="38">
        <f t="shared" si="11"/>
        <v>0.35</v>
      </c>
      <c r="C58" s="27">
        <f t="shared" si="11"/>
        <v>19.399999999999999</v>
      </c>
      <c r="D58" s="42">
        <v>0</v>
      </c>
      <c r="E58" s="27">
        <v>15</v>
      </c>
      <c r="F58">
        <f t="shared" si="9"/>
        <v>19.399999999999999</v>
      </c>
      <c r="G58" s="17">
        <f t="shared" si="10"/>
        <v>6.7899999999999991</v>
      </c>
    </row>
    <row r="59" spans="1:7" x14ac:dyDescent="0.25">
      <c r="A59" s="187"/>
      <c r="B59" s="38">
        <f t="shared" si="11"/>
        <v>0.35</v>
      </c>
      <c r="C59" s="27">
        <f t="shared" si="11"/>
        <v>19.399999999999999</v>
      </c>
      <c r="D59" s="42">
        <v>0</v>
      </c>
      <c r="E59" s="27">
        <v>16</v>
      </c>
      <c r="F59">
        <f t="shared" si="9"/>
        <v>19.399999999999999</v>
      </c>
      <c r="G59" s="17">
        <f t="shared" si="10"/>
        <v>6.7899999999999991</v>
      </c>
    </row>
    <row r="60" spans="1:7" x14ac:dyDescent="0.25">
      <c r="A60" s="187"/>
      <c r="B60" s="38">
        <f t="shared" si="11"/>
        <v>0.35</v>
      </c>
      <c r="C60" s="27">
        <f t="shared" si="11"/>
        <v>19.399999999999999</v>
      </c>
      <c r="D60" s="42">
        <v>0</v>
      </c>
      <c r="E60" s="27">
        <v>17</v>
      </c>
      <c r="F60">
        <f t="shared" si="9"/>
        <v>19.399999999999999</v>
      </c>
      <c r="G60" s="17">
        <f t="shared" si="10"/>
        <v>6.7899999999999991</v>
      </c>
    </row>
    <row r="61" spans="1:7" x14ac:dyDescent="0.25">
      <c r="A61" s="187"/>
      <c r="B61" s="38">
        <f t="shared" si="11"/>
        <v>0.35</v>
      </c>
      <c r="C61" s="27">
        <f t="shared" si="11"/>
        <v>19.399999999999999</v>
      </c>
      <c r="D61" s="42">
        <v>0</v>
      </c>
      <c r="E61" s="27">
        <v>18</v>
      </c>
      <c r="F61">
        <f t="shared" si="9"/>
        <v>19.399999999999999</v>
      </c>
      <c r="G61" s="17">
        <f t="shared" si="10"/>
        <v>6.7899999999999991</v>
      </c>
    </row>
    <row r="62" spans="1:7" ht="15.75" thickBot="1" x14ac:dyDescent="0.3">
      <c r="A62" s="187"/>
      <c r="B62" s="39">
        <f t="shared" ref="B62:C62" si="12">B61</f>
        <v>0.35</v>
      </c>
      <c r="C62" s="40">
        <f t="shared" si="12"/>
        <v>19.399999999999999</v>
      </c>
      <c r="D62" s="42">
        <v>0</v>
      </c>
      <c r="E62" s="40">
        <v>19</v>
      </c>
      <c r="F62">
        <f t="shared" si="9"/>
        <v>19.399999999999999</v>
      </c>
      <c r="G62" s="17">
        <f t="shared" si="10"/>
        <v>6.7899999999999991</v>
      </c>
    </row>
  </sheetData>
  <mergeCells count="3">
    <mergeCell ref="A23:A42"/>
    <mergeCell ref="A3:A22"/>
    <mergeCell ref="A43:A6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111"/>
  <sheetViews>
    <sheetView workbookViewId="0">
      <selection activeCell="J12" sqref="J12"/>
    </sheetView>
  </sheetViews>
  <sheetFormatPr baseColWidth="10" defaultColWidth="9.140625" defaultRowHeight="15" x14ac:dyDescent="0.25"/>
  <sheetData>
    <row r="2" spans="1:15" x14ac:dyDescent="0.25">
      <c r="A2" s="1" t="s">
        <v>123</v>
      </c>
      <c r="B2" s="1"/>
      <c r="C2" s="1"/>
      <c r="D2" s="1"/>
    </row>
    <row r="3" spans="1:15" x14ac:dyDescent="0.25">
      <c r="B3" t="s">
        <v>124</v>
      </c>
      <c r="C3" s="32">
        <v>18</v>
      </c>
      <c r="D3" t="s">
        <v>146</v>
      </c>
      <c r="M3" s="13" t="s">
        <v>125</v>
      </c>
      <c r="N3" s="57">
        <v>0.35</v>
      </c>
    </row>
    <row r="4" spans="1:15" x14ac:dyDescent="0.25">
      <c r="B4" t="s">
        <v>126</v>
      </c>
      <c r="C4" s="32">
        <v>1</v>
      </c>
      <c r="D4" t="s">
        <v>147</v>
      </c>
      <c r="M4" s="13" t="s">
        <v>127</v>
      </c>
      <c r="N4" s="57">
        <v>2</v>
      </c>
    </row>
    <row r="5" spans="1:15" x14ac:dyDescent="0.25">
      <c r="B5" t="s">
        <v>128</v>
      </c>
      <c r="C5" s="32">
        <v>18</v>
      </c>
      <c r="M5" s="13" t="s">
        <v>129</v>
      </c>
      <c r="N5" s="57">
        <v>1.43</v>
      </c>
    </row>
    <row r="6" spans="1:15" x14ac:dyDescent="0.25">
      <c r="B6" t="s">
        <v>130</v>
      </c>
      <c r="C6" s="32">
        <v>2</v>
      </c>
    </row>
    <row r="7" spans="1:15" x14ac:dyDescent="0.25">
      <c r="B7" t="s">
        <v>131</v>
      </c>
      <c r="C7" s="32">
        <v>3</v>
      </c>
      <c r="D7" t="s">
        <v>148</v>
      </c>
    </row>
    <row r="8" spans="1:15" x14ac:dyDescent="0.25">
      <c r="B8" t="s">
        <v>132</v>
      </c>
      <c r="C8" s="32">
        <v>4</v>
      </c>
      <c r="D8" t="s">
        <v>149</v>
      </c>
    </row>
    <row r="10" spans="1:15" x14ac:dyDescent="0.25">
      <c r="B10" t="s">
        <v>19</v>
      </c>
      <c r="C10" t="s">
        <v>133</v>
      </c>
      <c r="D10" t="s">
        <v>134</v>
      </c>
      <c r="E10" t="s">
        <v>135</v>
      </c>
      <c r="F10" t="s">
        <v>136</v>
      </c>
      <c r="L10" t="s">
        <v>137</v>
      </c>
      <c r="M10" t="s">
        <v>138</v>
      </c>
      <c r="N10" t="s">
        <v>139</v>
      </c>
      <c r="O10" t="s">
        <v>140</v>
      </c>
    </row>
    <row r="11" spans="1:15" x14ac:dyDescent="0.25">
      <c r="B11" s="32">
        <v>1</v>
      </c>
      <c r="C11" s="32">
        <f>+$C$3-$C$4*B11</f>
        <v>17</v>
      </c>
      <c r="D11" s="32">
        <f>+$C$5-$C$6*B11</f>
        <v>16</v>
      </c>
      <c r="E11" s="32"/>
      <c r="F11" s="32"/>
    </row>
    <row r="12" spans="1:15" x14ac:dyDescent="0.25">
      <c r="B12" s="32">
        <v>2</v>
      </c>
      <c r="C12" s="32">
        <f t="shared" ref="C12:C27" si="0">+$C$3-$C$4*B12</f>
        <v>16</v>
      </c>
      <c r="D12" s="32">
        <f t="shared" ref="D12:D18" si="1">+$C$5-$C$6*B12</f>
        <v>14</v>
      </c>
      <c r="E12" s="32"/>
      <c r="F12" s="32"/>
      <c r="L12" s="32"/>
      <c r="M12" s="32"/>
      <c r="N12" s="32"/>
      <c r="O12" s="32"/>
    </row>
    <row r="13" spans="1:15" x14ac:dyDescent="0.25">
      <c r="A13" s="53" t="s">
        <v>150</v>
      </c>
      <c r="B13" s="54">
        <v>3</v>
      </c>
      <c r="C13" s="48">
        <f t="shared" si="0"/>
        <v>15</v>
      </c>
      <c r="D13" s="32">
        <f t="shared" si="1"/>
        <v>12</v>
      </c>
      <c r="E13" s="56"/>
      <c r="F13" s="32"/>
      <c r="G13" s="32"/>
      <c r="L13" s="32">
        <f>+B13-$C$7</f>
        <v>0</v>
      </c>
      <c r="M13" s="32"/>
      <c r="N13" s="32">
        <f>+($N$4+$N$5*(B13-$C$7))</f>
        <v>2</v>
      </c>
      <c r="O13" s="32"/>
    </row>
    <row r="14" spans="1:15" x14ac:dyDescent="0.25">
      <c r="A14" s="53" t="s">
        <v>151</v>
      </c>
      <c r="B14" s="55">
        <v>4</v>
      </c>
      <c r="C14" s="32">
        <f t="shared" si="0"/>
        <v>14</v>
      </c>
      <c r="D14" s="49">
        <f t="shared" si="1"/>
        <v>10</v>
      </c>
      <c r="E14" s="32">
        <f t="shared" ref="E14:F27" si="2">+$N$3*N14</f>
        <v>1.2004999999999999</v>
      </c>
      <c r="F14" s="56"/>
      <c r="G14" s="32"/>
      <c r="L14" s="32">
        <f t="shared" ref="L14:L27" si="3">+B14-$C$7</f>
        <v>1</v>
      </c>
      <c r="M14" s="32">
        <f>+B14-$C$8</f>
        <v>0</v>
      </c>
      <c r="N14" s="32">
        <f t="shared" ref="N14:N27" si="4">+($N$4+$N$5*(B14-$C$7))</f>
        <v>3.4299999999999997</v>
      </c>
      <c r="O14" s="32">
        <f>+($N$4+$N$5*(B14-$C$8))</f>
        <v>2</v>
      </c>
    </row>
    <row r="15" spans="1:15" x14ac:dyDescent="0.25">
      <c r="B15" s="32">
        <v>5</v>
      </c>
      <c r="C15" s="32">
        <f t="shared" si="0"/>
        <v>13</v>
      </c>
      <c r="D15" s="32">
        <f t="shared" si="1"/>
        <v>8</v>
      </c>
      <c r="E15" s="32">
        <f t="shared" si="2"/>
        <v>1.7009999999999996</v>
      </c>
      <c r="F15" s="32">
        <f t="shared" si="2"/>
        <v>1.2004999999999999</v>
      </c>
      <c r="G15" s="32"/>
      <c r="L15" s="32">
        <f t="shared" si="3"/>
        <v>2</v>
      </c>
      <c r="M15" s="32">
        <f t="shared" ref="M15:M18" si="5">+B15-$C$8</f>
        <v>1</v>
      </c>
      <c r="N15" s="32">
        <f t="shared" si="4"/>
        <v>4.8599999999999994</v>
      </c>
      <c r="O15" s="32">
        <f t="shared" ref="O15:O18" si="6">+($N$4+$N$5*(B15-$C$8))</f>
        <v>3.4299999999999997</v>
      </c>
    </row>
    <row r="16" spans="1:15" x14ac:dyDescent="0.25">
      <c r="B16" s="32">
        <v>6</v>
      </c>
      <c r="C16" s="32">
        <f t="shared" si="0"/>
        <v>12</v>
      </c>
      <c r="D16" s="32">
        <f t="shared" si="1"/>
        <v>6</v>
      </c>
      <c r="E16" s="32">
        <f t="shared" si="2"/>
        <v>2.2014999999999998</v>
      </c>
      <c r="F16" s="32">
        <f t="shared" si="2"/>
        <v>1.7009999999999996</v>
      </c>
      <c r="G16" s="32"/>
      <c r="L16" s="32">
        <f t="shared" si="3"/>
        <v>3</v>
      </c>
      <c r="M16" s="32">
        <f t="shared" si="5"/>
        <v>2</v>
      </c>
      <c r="N16" s="32">
        <f t="shared" si="4"/>
        <v>6.29</v>
      </c>
      <c r="O16" s="32">
        <f t="shared" si="6"/>
        <v>4.8599999999999994</v>
      </c>
    </row>
    <row r="17" spans="1:15" x14ac:dyDescent="0.25">
      <c r="B17" s="49">
        <v>7</v>
      </c>
      <c r="C17" s="32">
        <f t="shared" si="0"/>
        <v>11</v>
      </c>
      <c r="D17" s="49">
        <f t="shared" si="1"/>
        <v>4</v>
      </c>
      <c r="E17" s="32">
        <f t="shared" si="2"/>
        <v>2.702</v>
      </c>
      <c r="F17" s="49">
        <f t="shared" si="2"/>
        <v>2.2014999999999998</v>
      </c>
      <c r="G17" s="32"/>
      <c r="L17" s="32">
        <f t="shared" si="3"/>
        <v>4</v>
      </c>
      <c r="M17" s="49">
        <f t="shared" si="5"/>
        <v>3</v>
      </c>
      <c r="N17" s="32">
        <f t="shared" si="4"/>
        <v>7.72</v>
      </c>
      <c r="O17" s="49">
        <f t="shared" si="6"/>
        <v>6.29</v>
      </c>
    </row>
    <row r="18" spans="1:15" x14ac:dyDescent="0.25">
      <c r="B18" s="32">
        <v>8</v>
      </c>
      <c r="C18" s="32">
        <f t="shared" si="0"/>
        <v>10</v>
      </c>
      <c r="D18" s="32">
        <f t="shared" si="1"/>
        <v>2</v>
      </c>
      <c r="E18" s="32">
        <f t="shared" si="2"/>
        <v>3.2024999999999992</v>
      </c>
      <c r="F18" s="32">
        <f t="shared" si="2"/>
        <v>2.702</v>
      </c>
      <c r="G18" s="32"/>
      <c r="L18" s="32">
        <f t="shared" si="3"/>
        <v>5</v>
      </c>
      <c r="M18" s="32">
        <f t="shared" si="5"/>
        <v>4</v>
      </c>
      <c r="N18" s="32">
        <f t="shared" si="4"/>
        <v>9.1499999999999986</v>
      </c>
      <c r="O18" s="32">
        <f t="shared" si="6"/>
        <v>7.72</v>
      </c>
    </row>
    <row r="19" spans="1:15" x14ac:dyDescent="0.25">
      <c r="B19" s="32">
        <v>9</v>
      </c>
      <c r="C19" s="32">
        <f t="shared" si="0"/>
        <v>9</v>
      </c>
      <c r="D19" s="32" t="s">
        <v>141</v>
      </c>
      <c r="E19" s="32">
        <f t="shared" si="2"/>
        <v>3.7029999999999998</v>
      </c>
      <c r="F19" s="32"/>
      <c r="G19" s="32"/>
      <c r="L19" s="32">
        <f t="shared" si="3"/>
        <v>6</v>
      </c>
      <c r="M19" s="32" t="s">
        <v>141</v>
      </c>
      <c r="N19" s="32">
        <f t="shared" si="4"/>
        <v>10.58</v>
      </c>
      <c r="O19" s="32" t="s">
        <v>141</v>
      </c>
    </row>
    <row r="20" spans="1:15" x14ac:dyDescent="0.25">
      <c r="B20" s="58">
        <v>10</v>
      </c>
      <c r="C20" s="58">
        <f t="shared" si="0"/>
        <v>8</v>
      </c>
      <c r="D20" s="58"/>
      <c r="E20" s="58">
        <f t="shared" si="2"/>
        <v>4.2035</v>
      </c>
      <c r="F20" s="32"/>
      <c r="G20" s="32"/>
      <c r="L20" s="58">
        <f t="shared" si="3"/>
        <v>7</v>
      </c>
      <c r="M20" s="58" t="s">
        <v>141</v>
      </c>
      <c r="N20" s="58">
        <f t="shared" si="4"/>
        <v>12.01</v>
      </c>
      <c r="O20" s="32"/>
    </row>
    <row r="21" spans="1:15" x14ac:dyDescent="0.25">
      <c r="B21" s="32">
        <v>11</v>
      </c>
      <c r="C21" s="32">
        <f t="shared" si="0"/>
        <v>7</v>
      </c>
      <c r="D21" s="32"/>
      <c r="E21" s="32">
        <f t="shared" si="2"/>
        <v>4.7039999999999997</v>
      </c>
      <c r="F21" s="32"/>
      <c r="G21" s="32"/>
      <c r="L21" s="32">
        <f t="shared" si="3"/>
        <v>8</v>
      </c>
      <c r="M21" s="32" t="s">
        <v>141</v>
      </c>
      <c r="N21" s="32">
        <f t="shared" si="4"/>
        <v>13.44</v>
      </c>
      <c r="O21" s="32"/>
    </row>
    <row r="22" spans="1:15" x14ac:dyDescent="0.25">
      <c r="B22" s="48">
        <v>12</v>
      </c>
      <c r="C22" s="48">
        <f t="shared" si="0"/>
        <v>6</v>
      </c>
      <c r="D22" s="48"/>
      <c r="E22" s="48">
        <f t="shared" si="2"/>
        <v>5.2044999999999995</v>
      </c>
      <c r="F22" s="32"/>
      <c r="G22" s="32"/>
      <c r="L22" s="48">
        <f t="shared" si="3"/>
        <v>9</v>
      </c>
      <c r="M22" s="48" t="s">
        <v>141</v>
      </c>
      <c r="N22" s="48">
        <f t="shared" si="4"/>
        <v>14.87</v>
      </c>
      <c r="O22" s="32"/>
    </row>
    <row r="23" spans="1:15" x14ac:dyDescent="0.25">
      <c r="B23" s="32">
        <v>13</v>
      </c>
      <c r="C23" s="32">
        <f t="shared" si="0"/>
        <v>5</v>
      </c>
      <c r="D23" s="32"/>
      <c r="E23" s="32">
        <f t="shared" si="2"/>
        <v>5.7049999999999983</v>
      </c>
      <c r="F23" s="32"/>
      <c r="G23" s="32"/>
      <c r="L23" s="32">
        <f t="shared" si="3"/>
        <v>10</v>
      </c>
      <c r="M23" s="32" t="s">
        <v>141</v>
      </c>
      <c r="N23" s="32">
        <f t="shared" si="4"/>
        <v>16.299999999999997</v>
      </c>
      <c r="O23" s="32"/>
    </row>
    <row r="24" spans="1:15" x14ac:dyDescent="0.25">
      <c r="B24" s="32">
        <v>14</v>
      </c>
      <c r="C24" s="32">
        <f t="shared" si="0"/>
        <v>4</v>
      </c>
      <c r="D24" s="32"/>
      <c r="E24" s="32">
        <f t="shared" si="2"/>
        <v>6.2054999999999989</v>
      </c>
      <c r="F24" s="32"/>
      <c r="G24" s="32"/>
      <c r="L24" s="32">
        <f t="shared" si="3"/>
        <v>11</v>
      </c>
      <c r="M24" s="32" t="s">
        <v>141</v>
      </c>
      <c r="N24" s="32">
        <f t="shared" si="4"/>
        <v>17.729999999999997</v>
      </c>
      <c r="O24" s="32"/>
    </row>
    <row r="25" spans="1:15" x14ac:dyDescent="0.25">
      <c r="B25" s="32">
        <v>15</v>
      </c>
      <c r="C25" s="32">
        <f t="shared" si="0"/>
        <v>3</v>
      </c>
      <c r="D25" s="32"/>
      <c r="E25" s="32">
        <f t="shared" si="2"/>
        <v>6.7059999999999995</v>
      </c>
      <c r="F25" s="32"/>
      <c r="G25" s="32"/>
      <c r="L25" s="32">
        <f t="shared" si="3"/>
        <v>12</v>
      </c>
      <c r="M25" s="32" t="s">
        <v>141</v>
      </c>
      <c r="N25" s="32">
        <f t="shared" si="4"/>
        <v>19.16</v>
      </c>
      <c r="O25" s="32"/>
    </row>
    <row r="26" spans="1:15" x14ac:dyDescent="0.25">
      <c r="B26" s="32">
        <v>16</v>
      </c>
      <c r="C26" s="32">
        <f t="shared" si="0"/>
        <v>2</v>
      </c>
      <c r="D26" s="32"/>
      <c r="E26" s="32">
        <f t="shared" si="2"/>
        <v>7.2064999999999992</v>
      </c>
      <c r="F26" s="32"/>
      <c r="G26" s="32"/>
      <c r="L26" s="32">
        <f t="shared" si="3"/>
        <v>13</v>
      </c>
      <c r="M26" s="32" t="s">
        <v>142</v>
      </c>
      <c r="N26" s="32">
        <f t="shared" si="4"/>
        <v>20.59</v>
      </c>
      <c r="O26" s="32"/>
    </row>
    <row r="27" spans="1:15" x14ac:dyDescent="0.25">
      <c r="B27" s="32">
        <v>17</v>
      </c>
      <c r="C27" s="32">
        <f t="shared" si="0"/>
        <v>1</v>
      </c>
      <c r="D27" s="32"/>
      <c r="E27" s="32">
        <f t="shared" si="2"/>
        <v>7.706999999999999</v>
      </c>
      <c r="F27" s="32"/>
      <c r="L27" s="32">
        <f t="shared" si="3"/>
        <v>14</v>
      </c>
      <c r="M27" s="32" t="s">
        <v>141</v>
      </c>
      <c r="N27" s="32">
        <f t="shared" si="4"/>
        <v>22.02</v>
      </c>
      <c r="O27" s="32"/>
    </row>
    <row r="28" spans="1:15" x14ac:dyDescent="0.25">
      <c r="B28" t="s">
        <v>141</v>
      </c>
      <c r="C28" t="s">
        <v>141</v>
      </c>
    </row>
    <row r="30" spans="1:15" x14ac:dyDescent="0.25">
      <c r="A30" s="1" t="s">
        <v>143</v>
      </c>
      <c r="B30" s="1"/>
      <c r="C30" s="1"/>
      <c r="D30" s="1"/>
    </row>
    <row r="31" spans="1:15" x14ac:dyDescent="0.25">
      <c r="B31" t="s">
        <v>124</v>
      </c>
      <c r="C31" s="32">
        <v>18</v>
      </c>
      <c r="M31" t="s">
        <v>125</v>
      </c>
      <c r="N31" s="32">
        <v>0.7</v>
      </c>
    </row>
    <row r="32" spans="1:15" x14ac:dyDescent="0.25">
      <c r="B32" t="s">
        <v>126</v>
      </c>
      <c r="C32" s="32">
        <v>1</v>
      </c>
      <c r="M32" t="s">
        <v>127</v>
      </c>
      <c r="N32" s="32">
        <v>17.5</v>
      </c>
    </row>
    <row r="33" spans="2:15" x14ac:dyDescent="0.25">
      <c r="B33" t="s">
        <v>128</v>
      </c>
      <c r="C33" s="32">
        <v>18</v>
      </c>
      <c r="M33" t="s">
        <v>129</v>
      </c>
      <c r="N33" s="32">
        <v>1.43</v>
      </c>
    </row>
    <row r="34" spans="2:15" x14ac:dyDescent="0.25">
      <c r="B34" t="s">
        <v>130</v>
      </c>
      <c r="C34" s="32">
        <v>2</v>
      </c>
    </row>
    <row r="35" spans="2:15" x14ac:dyDescent="0.25">
      <c r="B35" t="s">
        <v>131</v>
      </c>
      <c r="C35" s="32">
        <v>3</v>
      </c>
    </row>
    <row r="36" spans="2:15" x14ac:dyDescent="0.25">
      <c r="B36" t="s">
        <v>132</v>
      </c>
      <c r="C36" s="32">
        <v>4</v>
      </c>
    </row>
    <row r="38" spans="2:15" x14ac:dyDescent="0.25">
      <c r="B38" t="s">
        <v>19</v>
      </c>
      <c r="C38" t="s">
        <v>133</v>
      </c>
      <c r="D38" t="s">
        <v>134</v>
      </c>
      <c r="E38" t="s">
        <v>135</v>
      </c>
      <c r="F38" t="s">
        <v>136</v>
      </c>
      <c r="L38" t="s">
        <v>137</v>
      </c>
      <c r="M38" t="s">
        <v>138</v>
      </c>
      <c r="N38" t="s">
        <v>139</v>
      </c>
      <c r="O38" t="s">
        <v>140</v>
      </c>
    </row>
    <row r="39" spans="2:15" x14ac:dyDescent="0.25">
      <c r="B39" s="32">
        <v>1</v>
      </c>
      <c r="C39" s="32">
        <f>+$C$3-$C$4*B39</f>
        <v>17</v>
      </c>
      <c r="D39" s="32">
        <f>+$C$5-$C$6*B39</f>
        <v>16</v>
      </c>
      <c r="E39" s="32"/>
      <c r="F39" s="32"/>
    </row>
    <row r="40" spans="2:15" x14ac:dyDescent="0.25">
      <c r="B40" s="32">
        <v>2</v>
      </c>
      <c r="C40" s="32">
        <f t="shared" ref="C40:C55" si="7">+$C$3-$C$4*B40</f>
        <v>16</v>
      </c>
      <c r="D40" s="32">
        <f t="shared" ref="D40:D46" si="8">+$C$5-$C$6*B40</f>
        <v>14</v>
      </c>
      <c r="E40" s="32"/>
      <c r="F40" s="32"/>
      <c r="L40" s="32"/>
      <c r="M40" s="32"/>
      <c r="N40" s="32"/>
      <c r="O40" s="32"/>
    </row>
    <row r="41" spans="2:15" x14ac:dyDescent="0.25">
      <c r="B41" s="48">
        <v>3</v>
      </c>
      <c r="C41" s="48">
        <f t="shared" si="7"/>
        <v>15</v>
      </c>
      <c r="D41" s="32">
        <f t="shared" si="8"/>
        <v>12</v>
      </c>
      <c r="E41" s="32">
        <f>+$N$31*N41</f>
        <v>12.25</v>
      </c>
      <c r="F41" s="32"/>
      <c r="L41" s="50">
        <f>+B41-$C$7</f>
        <v>0</v>
      </c>
      <c r="M41" s="32"/>
      <c r="N41" s="50">
        <f>+($N$32+$N$33*(B41-$C$7))</f>
        <v>17.5</v>
      </c>
      <c r="O41" s="32"/>
    </row>
    <row r="42" spans="2:15" x14ac:dyDescent="0.25">
      <c r="B42" s="49">
        <v>4</v>
      </c>
      <c r="C42" s="48">
        <f t="shared" si="7"/>
        <v>14</v>
      </c>
      <c r="D42" s="49">
        <f t="shared" si="8"/>
        <v>10</v>
      </c>
      <c r="E42" s="48">
        <f t="shared" ref="E42:F55" si="9">+$N$31*N42</f>
        <v>13.250999999999999</v>
      </c>
      <c r="F42" s="32">
        <f>+$N$31*O42</f>
        <v>12.25</v>
      </c>
      <c r="L42" s="48">
        <f t="shared" ref="L42:L55" si="10">+B42-$C$7</f>
        <v>1</v>
      </c>
      <c r="M42" s="49">
        <f>+B42-$C$8</f>
        <v>0</v>
      </c>
      <c r="N42" s="48">
        <f t="shared" ref="N42:N55" si="11">+($N$32+$N$33*(B42-$C$7))</f>
        <v>18.93</v>
      </c>
      <c r="O42" s="49">
        <f>+($N$32+$N$33*(B42-$C$8))</f>
        <v>17.5</v>
      </c>
    </row>
    <row r="43" spans="2:15" x14ac:dyDescent="0.25">
      <c r="B43" s="32">
        <v>5</v>
      </c>
      <c r="C43" s="32">
        <f t="shared" si="7"/>
        <v>13</v>
      </c>
      <c r="D43" s="32">
        <f t="shared" si="8"/>
        <v>8</v>
      </c>
      <c r="E43" s="32">
        <f t="shared" si="9"/>
        <v>14.251999999999999</v>
      </c>
      <c r="F43" s="32">
        <f t="shared" si="9"/>
        <v>13.250999999999999</v>
      </c>
      <c r="L43" s="32">
        <f t="shared" si="10"/>
        <v>2</v>
      </c>
      <c r="M43" s="32">
        <f t="shared" ref="M43:M46" si="12">+B43-$C$8</f>
        <v>1</v>
      </c>
      <c r="N43" s="32">
        <f t="shared" si="11"/>
        <v>20.36</v>
      </c>
      <c r="O43" s="32">
        <f t="shared" ref="O43:O46" si="13">+($N$32+$N$33*(B43-$C$8))</f>
        <v>18.93</v>
      </c>
    </row>
    <row r="44" spans="2:15" x14ac:dyDescent="0.25">
      <c r="B44" s="32">
        <v>6</v>
      </c>
      <c r="C44" s="32">
        <f t="shared" si="7"/>
        <v>12</v>
      </c>
      <c r="D44" s="32">
        <f t="shared" si="8"/>
        <v>6</v>
      </c>
      <c r="E44" s="32">
        <f t="shared" si="9"/>
        <v>15.252999999999998</v>
      </c>
      <c r="F44" s="32">
        <f t="shared" si="9"/>
        <v>14.251999999999999</v>
      </c>
      <c r="L44" s="32">
        <f t="shared" si="10"/>
        <v>3</v>
      </c>
      <c r="M44" s="32">
        <f t="shared" si="12"/>
        <v>2</v>
      </c>
      <c r="N44" s="32">
        <f t="shared" si="11"/>
        <v>21.79</v>
      </c>
      <c r="O44" s="32">
        <f t="shared" si="13"/>
        <v>20.36</v>
      </c>
    </row>
    <row r="45" spans="2:15" x14ac:dyDescent="0.25">
      <c r="B45" s="50">
        <v>7</v>
      </c>
      <c r="C45" s="32">
        <f t="shared" si="7"/>
        <v>11</v>
      </c>
      <c r="D45" s="50">
        <f t="shared" si="8"/>
        <v>4</v>
      </c>
      <c r="E45" s="32">
        <f t="shared" si="9"/>
        <v>16.253999999999998</v>
      </c>
      <c r="F45" s="32">
        <f t="shared" si="9"/>
        <v>15.252999999999998</v>
      </c>
      <c r="L45" s="32">
        <f t="shared" si="10"/>
        <v>4</v>
      </c>
      <c r="M45" s="50">
        <f t="shared" si="12"/>
        <v>3</v>
      </c>
      <c r="N45" s="32">
        <f t="shared" si="11"/>
        <v>23.22</v>
      </c>
      <c r="O45" s="32">
        <f t="shared" si="13"/>
        <v>21.79</v>
      </c>
    </row>
    <row r="46" spans="2:15" x14ac:dyDescent="0.25">
      <c r="B46" s="32">
        <v>8</v>
      </c>
      <c r="C46" s="32">
        <f t="shared" si="7"/>
        <v>10</v>
      </c>
      <c r="D46" s="32">
        <f t="shared" si="8"/>
        <v>2</v>
      </c>
      <c r="E46" s="32">
        <f t="shared" si="9"/>
        <v>17.254999999999999</v>
      </c>
      <c r="F46" s="32">
        <f t="shared" si="9"/>
        <v>16.253999999999998</v>
      </c>
      <c r="L46" s="32">
        <f t="shared" si="10"/>
        <v>5</v>
      </c>
      <c r="M46" s="32">
        <f t="shared" si="12"/>
        <v>4</v>
      </c>
      <c r="N46" s="32">
        <f t="shared" si="11"/>
        <v>24.65</v>
      </c>
      <c r="O46" s="32">
        <f t="shared" si="13"/>
        <v>23.22</v>
      </c>
    </row>
    <row r="47" spans="2:15" x14ac:dyDescent="0.25">
      <c r="B47" s="32">
        <v>9</v>
      </c>
      <c r="C47" s="32">
        <f t="shared" si="7"/>
        <v>9</v>
      </c>
      <c r="D47" s="32" t="s">
        <v>141</v>
      </c>
      <c r="E47" s="32">
        <f t="shared" si="9"/>
        <v>18.255999999999997</v>
      </c>
      <c r="F47" s="32"/>
      <c r="L47" s="32">
        <f t="shared" si="10"/>
        <v>6</v>
      </c>
      <c r="M47" s="32" t="s">
        <v>141</v>
      </c>
      <c r="N47" s="32">
        <f t="shared" si="11"/>
        <v>26.08</v>
      </c>
      <c r="O47" s="32" t="s">
        <v>141</v>
      </c>
    </row>
    <row r="48" spans="2:15" x14ac:dyDescent="0.25">
      <c r="B48" s="50">
        <v>10</v>
      </c>
      <c r="C48" s="50">
        <f t="shared" si="7"/>
        <v>8</v>
      </c>
      <c r="D48" s="50"/>
      <c r="E48" s="32">
        <f t="shared" si="9"/>
        <v>19.256999999999998</v>
      </c>
      <c r="F48" s="32"/>
      <c r="L48" s="50">
        <f t="shared" si="10"/>
        <v>7</v>
      </c>
      <c r="M48" s="50" t="s">
        <v>141</v>
      </c>
      <c r="N48" s="32">
        <f t="shared" si="11"/>
        <v>27.509999999999998</v>
      </c>
      <c r="O48" s="32"/>
    </row>
    <row r="49" spans="1:15" x14ac:dyDescent="0.25">
      <c r="B49" s="32">
        <v>11</v>
      </c>
      <c r="C49" s="32">
        <f t="shared" si="7"/>
        <v>7</v>
      </c>
      <c r="D49" s="32"/>
      <c r="E49" s="32">
        <f t="shared" si="9"/>
        <v>20.257999999999996</v>
      </c>
      <c r="F49" s="32"/>
      <c r="L49" s="32">
        <f t="shared" si="10"/>
        <v>8</v>
      </c>
      <c r="M49" s="32" t="s">
        <v>141</v>
      </c>
      <c r="N49" s="32">
        <f t="shared" si="11"/>
        <v>28.939999999999998</v>
      </c>
      <c r="O49" s="32"/>
    </row>
    <row r="50" spans="1:15" x14ac:dyDescent="0.25">
      <c r="B50" s="32">
        <v>12</v>
      </c>
      <c r="C50" s="32">
        <f t="shared" si="7"/>
        <v>6</v>
      </c>
      <c r="D50" s="32"/>
      <c r="E50" s="32">
        <f t="shared" si="9"/>
        <v>21.258999999999997</v>
      </c>
      <c r="F50" s="32"/>
      <c r="L50" s="32">
        <f t="shared" si="10"/>
        <v>9</v>
      </c>
      <c r="M50" s="32" t="s">
        <v>141</v>
      </c>
      <c r="N50" s="32">
        <f t="shared" si="11"/>
        <v>30.369999999999997</v>
      </c>
      <c r="O50" s="32"/>
    </row>
    <row r="51" spans="1:15" x14ac:dyDescent="0.25">
      <c r="B51" s="32">
        <v>13</v>
      </c>
      <c r="C51" s="32">
        <f t="shared" si="7"/>
        <v>5</v>
      </c>
      <c r="D51" s="32"/>
      <c r="E51" s="32">
        <f t="shared" si="9"/>
        <v>22.259999999999998</v>
      </c>
      <c r="F51" s="32"/>
      <c r="L51" s="32">
        <f t="shared" si="10"/>
        <v>10</v>
      </c>
      <c r="M51" s="32" t="s">
        <v>141</v>
      </c>
      <c r="N51" s="32">
        <f t="shared" si="11"/>
        <v>31.799999999999997</v>
      </c>
      <c r="O51" s="32"/>
    </row>
    <row r="52" spans="1:15" x14ac:dyDescent="0.25">
      <c r="B52" s="32">
        <v>14</v>
      </c>
      <c r="C52" s="32">
        <f t="shared" si="7"/>
        <v>4</v>
      </c>
      <c r="D52" s="32"/>
      <c r="E52" s="32">
        <f t="shared" si="9"/>
        <v>23.260999999999996</v>
      </c>
      <c r="F52" s="32"/>
      <c r="L52" s="32">
        <f t="shared" si="10"/>
        <v>11</v>
      </c>
      <c r="M52" s="32" t="s">
        <v>141</v>
      </c>
      <c r="N52" s="32">
        <f t="shared" si="11"/>
        <v>33.229999999999997</v>
      </c>
      <c r="O52" s="32"/>
    </row>
    <row r="53" spans="1:15" x14ac:dyDescent="0.25">
      <c r="B53" s="32">
        <v>15</v>
      </c>
      <c r="C53" s="32">
        <f t="shared" si="7"/>
        <v>3</v>
      </c>
      <c r="D53" s="32"/>
      <c r="E53" s="32">
        <f t="shared" si="9"/>
        <v>24.261999999999997</v>
      </c>
      <c r="F53" s="32"/>
      <c r="L53" s="32">
        <f t="shared" si="10"/>
        <v>12</v>
      </c>
      <c r="M53" s="32" t="s">
        <v>141</v>
      </c>
      <c r="N53" s="32">
        <f t="shared" si="11"/>
        <v>34.659999999999997</v>
      </c>
      <c r="O53" s="32"/>
    </row>
    <row r="54" spans="1:15" x14ac:dyDescent="0.25">
      <c r="B54" s="32">
        <v>16</v>
      </c>
      <c r="C54" s="32">
        <f t="shared" si="7"/>
        <v>2</v>
      </c>
      <c r="D54" s="32"/>
      <c r="E54" s="32">
        <f t="shared" si="9"/>
        <v>25.263000000000002</v>
      </c>
      <c r="F54" s="32"/>
      <c r="L54" s="32">
        <f t="shared" si="10"/>
        <v>13</v>
      </c>
      <c r="M54" s="32" t="s">
        <v>142</v>
      </c>
      <c r="N54" s="32">
        <f t="shared" si="11"/>
        <v>36.090000000000003</v>
      </c>
      <c r="O54" s="32"/>
    </row>
    <row r="55" spans="1:15" x14ac:dyDescent="0.25">
      <c r="B55" s="32">
        <v>17</v>
      </c>
      <c r="C55" s="32">
        <f t="shared" si="7"/>
        <v>1</v>
      </c>
      <c r="D55" s="32"/>
      <c r="E55" s="32">
        <f t="shared" si="9"/>
        <v>26.263999999999996</v>
      </c>
      <c r="F55" s="32"/>
      <c r="L55" s="32">
        <f t="shared" si="10"/>
        <v>14</v>
      </c>
      <c r="M55" s="32" t="s">
        <v>141</v>
      </c>
      <c r="N55" s="32">
        <f t="shared" si="11"/>
        <v>37.519999999999996</v>
      </c>
      <c r="O55" s="32"/>
    </row>
    <row r="58" spans="1:15" x14ac:dyDescent="0.25">
      <c r="A58" s="1" t="s">
        <v>144</v>
      </c>
      <c r="B58" s="1"/>
      <c r="C58" s="1"/>
      <c r="D58" s="1"/>
    </row>
    <row r="59" spans="1:15" x14ac:dyDescent="0.25">
      <c r="B59" t="s">
        <v>124</v>
      </c>
      <c r="C59" s="32">
        <v>18</v>
      </c>
      <c r="M59" t="s">
        <v>125</v>
      </c>
      <c r="N59" s="32">
        <v>0.35</v>
      </c>
    </row>
    <row r="60" spans="1:15" x14ac:dyDescent="0.25">
      <c r="B60" t="s">
        <v>126</v>
      </c>
      <c r="C60" s="32">
        <v>1</v>
      </c>
      <c r="M60" t="s">
        <v>127</v>
      </c>
      <c r="N60" s="32">
        <v>2</v>
      </c>
    </row>
    <row r="61" spans="1:15" x14ac:dyDescent="0.25">
      <c r="B61" t="s">
        <v>128</v>
      </c>
      <c r="C61" s="32">
        <v>18</v>
      </c>
      <c r="M61" t="s">
        <v>129</v>
      </c>
      <c r="N61" s="32">
        <v>2.9</v>
      </c>
    </row>
    <row r="62" spans="1:15" x14ac:dyDescent="0.25">
      <c r="B62" t="s">
        <v>130</v>
      </c>
      <c r="C62" s="32">
        <v>2</v>
      </c>
    </row>
    <row r="63" spans="1:15" x14ac:dyDescent="0.25">
      <c r="B63" t="s">
        <v>131</v>
      </c>
      <c r="C63" s="32">
        <v>7</v>
      </c>
    </row>
    <row r="64" spans="1:15" x14ac:dyDescent="0.25">
      <c r="B64" t="s">
        <v>132</v>
      </c>
      <c r="C64" s="32">
        <v>7</v>
      </c>
    </row>
    <row r="66" spans="2:15" x14ac:dyDescent="0.25">
      <c r="B66" s="32" t="s">
        <v>19</v>
      </c>
      <c r="C66" s="32" t="s">
        <v>133</v>
      </c>
      <c r="D66" s="32" t="s">
        <v>134</v>
      </c>
      <c r="E66" s="32" t="s">
        <v>135</v>
      </c>
      <c r="F66" s="32" t="s">
        <v>136</v>
      </c>
      <c r="G66" s="32"/>
      <c r="H66" s="32"/>
      <c r="I66" s="32"/>
      <c r="J66" s="32"/>
      <c r="K66" s="32"/>
      <c r="L66" s="32" t="s">
        <v>137</v>
      </c>
      <c r="M66" s="32" t="s">
        <v>138</v>
      </c>
      <c r="N66" s="32" t="s">
        <v>139</v>
      </c>
      <c r="O66" s="32" t="s">
        <v>140</v>
      </c>
    </row>
    <row r="67" spans="2:15" x14ac:dyDescent="0.25">
      <c r="B67" s="32">
        <v>1</v>
      </c>
      <c r="C67" s="32">
        <f>+$C$3-$C$4*B67</f>
        <v>17</v>
      </c>
      <c r="D67" s="32">
        <f>+$C$5-$C$6*B67</f>
        <v>16</v>
      </c>
      <c r="E67" s="32"/>
      <c r="F67" s="32"/>
    </row>
    <row r="68" spans="2:15" x14ac:dyDescent="0.25">
      <c r="B68" s="32">
        <v>2</v>
      </c>
      <c r="C68" s="32">
        <f t="shared" ref="C68:C83" si="14">+$C$3-$C$4*B68</f>
        <v>16</v>
      </c>
      <c r="D68" s="32">
        <f t="shared" ref="D68:D74" si="15">+$C$5-$C$6*B68</f>
        <v>14</v>
      </c>
      <c r="E68" s="32"/>
      <c r="F68" s="32"/>
      <c r="L68" s="32"/>
      <c r="M68" s="32"/>
      <c r="N68" s="32"/>
      <c r="O68" s="32"/>
    </row>
    <row r="69" spans="2:15" x14ac:dyDescent="0.25">
      <c r="B69" s="50">
        <v>3</v>
      </c>
      <c r="C69" s="50">
        <f t="shared" si="14"/>
        <v>15</v>
      </c>
      <c r="D69" s="50">
        <f t="shared" si="15"/>
        <v>12</v>
      </c>
      <c r="E69" s="50" t="s">
        <v>141</v>
      </c>
      <c r="F69" s="50"/>
      <c r="L69" s="32" t="s">
        <v>141</v>
      </c>
      <c r="M69" s="32"/>
      <c r="N69" s="32"/>
      <c r="O69" s="32"/>
    </row>
    <row r="70" spans="2:15" x14ac:dyDescent="0.25">
      <c r="B70" s="50">
        <v>4</v>
      </c>
      <c r="C70" s="50">
        <f t="shared" si="14"/>
        <v>14</v>
      </c>
      <c r="D70" s="50">
        <f t="shared" si="15"/>
        <v>10</v>
      </c>
      <c r="E70" s="50" t="s">
        <v>141</v>
      </c>
      <c r="F70" s="50" t="s">
        <v>141</v>
      </c>
      <c r="L70" s="32" t="s">
        <v>141</v>
      </c>
      <c r="M70" s="32" t="s">
        <v>141</v>
      </c>
      <c r="N70" s="32"/>
      <c r="O70" s="32"/>
    </row>
    <row r="71" spans="2:15" x14ac:dyDescent="0.25">
      <c r="B71" s="50">
        <v>5</v>
      </c>
      <c r="C71" s="50">
        <f t="shared" si="14"/>
        <v>13</v>
      </c>
      <c r="D71" s="50">
        <f t="shared" si="15"/>
        <v>8</v>
      </c>
      <c r="E71" s="50" t="s">
        <v>141</v>
      </c>
      <c r="F71" s="50" t="s">
        <v>141</v>
      </c>
      <c r="L71" s="32" t="s">
        <v>141</v>
      </c>
      <c r="M71" s="32" t="s">
        <v>141</v>
      </c>
      <c r="N71" s="32"/>
      <c r="O71" s="32"/>
    </row>
    <row r="72" spans="2:15" x14ac:dyDescent="0.25">
      <c r="B72" s="50">
        <v>6</v>
      </c>
      <c r="C72" s="50">
        <f t="shared" si="14"/>
        <v>12</v>
      </c>
      <c r="D72" s="50">
        <f t="shared" si="15"/>
        <v>6</v>
      </c>
      <c r="E72" s="50" t="s">
        <v>141</v>
      </c>
      <c r="F72" s="50" t="s">
        <v>141</v>
      </c>
      <c r="L72" s="32" t="s">
        <v>141</v>
      </c>
      <c r="M72" s="32" t="s">
        <v>141</v>
      </c>
      <c r="N72" s="32"/>
      <c r="O72" s="32"/>
    </row>
    <row r="73" spans="2:15" x14ac:dyDescent="0.25">
      <c r="B73" s="48">
        <v>7</v>
      </c>
      <c r="C73" s="48">
        <f t="shared" si="14"/>
        <v>11</v>
      </c>
      <c r="D73" s="50">
        <f t="shared" si="15"/>
        <v>4</v>
      </c>
      <c r="E73" s="50">
        <f>+$N$59*N73</f>
        <v>0.7</v>
      </c>
      <c r="F73" s="50">
        <f>+$N$59*O73</f>
        <v>0.7</v>
      </c>
      <c r="L73" s="50">
        <f>+B73-$C$63</f>
        <v>0</v>
      </c>
      <c r="M73" s="50">
        <f>+B73-$C$64</f>
        <v>0</v>
      </c>
      <c r="N73" s="50">
        <f>+($N$60+$N$61*(B73-$C$63))</f>
        <v>2</v>
      </c>
      <c r="O73" s="50">
        <f>+($N$60+$N$61*(B73-$C$64))</f>
        <v>2</v>
      </c>
    </row>
    <row r="74" spans="2:15" x14ac:dyDescent="0.25">
      <c r="B74" s="50">
        <v>8</v>
      </c>
      <c r="C74" s="50">
        <f t="shared" si="14"/>
        <v>10</v>
      </c>
      <c r="D74" s="49">
        <f t="shared" si="15"/>
        <v>2</v>
      </c>
      <c r="E74" s="50">
        <f t="shared" ref="E74:E83" si="16">+$N$59*N74</f>
        <v>1.7150000000000001</v>
      </c>
      <c r="F74" s="49">
        <f>+$N$59*O74</f>
        <v>1.7150000000000001</v>
      </c>
      <c r="L74" s="50">
        <f t="shared" ref="L74:L83" si="17">+B74-$C$63</f>
        <v>1</v>
      </c>
      <c r="M74" s="49">
        <f>+B74-$C$64</f>
        <v>1</v>
      </c>
      <c r="N74" s="50">
        <f t="shared" ref="N74:N83" si="18">+($N$60+$N$61*(B74-$C$63))</f>
        <v>4.9000000000000004</v>
      </c>
      <c r="O74" s="49">
        <f>+($N$60+$N$61*(B74-$C$64))</f>
        <v>4.9000000000000004</v>
      </c>
    </row>
    <row r="75" spans="2:15" x14ac:dyDescent="0.25">
      <c r="B75" s="50">
        <v>9</v>
      </c>
      <c r="C75" s="50">
        <f t="shared" si="14"/>
        <v>9</v>
      </c>
      <c r="D75" s="50" t="s">
        <v>141</v>
      </c>
      <c r="E75" s="50">
        <f t="shared" si="16"/>
        <v>2.73</v>
      </c>
      <c r="F75" s="50"/>
      <c r="L75" s="50">
        <f t="shared" si="17"/>
        <v>2</v>
      </c>
      <c r="M75" s="50" t="s">
        <v>141</v>
      </c>
      <c r="N75" s="50">
        <f t="shared" si="18"/>
        <v>7.8</v>
      </c>
      <c r="O75" s="50" t="s">
        <v>141</v>
      </c>
    </row>
    <row r="76" spans="2:15" x14ac:dyDescent="0.25">
      <c r="B76" s="50">
        <v>10</v>
      </c>
      <c r="C76" s="50">
        <f t="shared" si="14"/>
        <v>8</v>
      </c>
      <c r="D76" s="50"/>
      <c r="E76" s="50">
        <f t="shared" si="16"/>
        <v>3.7449999999999997</v>
      </c>
      <c r="F76" s="50"/>
      <c r="L76" s="50">
        <f t="shared" si="17"/>
        <v>3</v>
      </c>
      <c r="M76" s="50" t="s">
        <v>141</v>
      </c>
      <c r="N76" s="50">
        <f t="shared" si="18"/>
        <v>10.7</v>
      </c>
      <c r="O76" s="50"/>
    </row>
    <row r="77" spans="2:15" x14ac:dyDescent="0.25">
      <c r="B77" s="32">
        <v>11</v>
      </c>
      <c r="C77" s="32">
        <f t="shared" si="14"/>
        <v>7</v>
      </c>
      <c r="D77" s="32"/>
      <c r="E77" s="50">
        <f t="shared" si="16"/>
        <v>4.76</v>
      </c>
      <c r="F77" s="32"/>
      <c r="L77" s="50">
        <f t="shared" si="17"/>
        <v>4</v>
      </c>
      <c r="M77" s="32" t="s">
        <v>141</v>
      </c>
      <c r="N77" s="50">
        <f t="shared" si="18"/>
        <v>13.6</v>
      </c>
      <c r="O77" s="32"/>
    </row>
    <row r="78" spans="2:15" x14ac:dyDescent="0.25">
      <c r="B78" s="32">
        <v>12</v>
      </c>
      <c r="C78" s="32">
        <f t="shared" si="14"/>
        <v>6</v>
      </c>
      <c r="D78" s="32"/>
      <c r="E78" s="50">
        <f t="shared" si="16"/>
        <v>5.7749999999999995</v>
      </c>
      <c r="F78" s="32"/>
      <c r="L78" s="48">
        <f t="shared" si="17"/>
        <v>5</v>
      </c>
      <c r="M78" s="32" t="s">
        <v>141</v>
      </c>
      <c r="N78" s="48">
        <f t="shared" si="18"/>
        <v>16.5</v>
      </c>
      <c r="O78" s="32"/>
    </row>
    <row r="79" spans="2:15" x14ac:dyDescent="0.25">
      <c r="B79" s="32">
        <v>13</v>
      </c>
      <c r="C79" s="32">
        <f t="shared" si="14"/>
        <v>5</v>
      </c>
      <c r="D79" s="32"/>
      <c r="E79" s="50">
        <f t="shared" si="16"/>
        <v>6.7899999999999991</v>
      </c>
      <c r="F79" s="32"/>
      <c r="L79" s="50">
        <f t="shared" si="17"/>
        <v>6</v>
      </c>
      <c r="M79" s="32" t="s">
        <v>141</v>
      </c>
      <c r="N79" s="50">
        <f t="shared" si="18"/>
        <v>19.399999999999999</v>
      </c>
      <c r="O79" s="32"/>
    </row>
    <row r="80" spans="2:15" x14ac:dyDescent="0.25">
      <c r="B80" s="32">
        <v>14</v>
      </c>
      <c r="C80" s="32">
        <f t="shared" si="14"/>
        <v>4</v>
      </c>
      <c r="D80" s="32"/>
      <c r="E80" s="50">
        <f t="shared" si="16"/>
        <v>7.8049999999999997</v>
      </c>
      <c r="F80" s="32"/>
      <c r="L80" s="50">
        <f t="shared" si="17"/>
        <v>7</v>
      </c>
      <c r="M80" s="32" t="s">
        <v>141</v>
      </c>
      <c r="N80" s="50">
        <f t="shared" si="18"/>
        <v>22.3</v>
      </c>
      <c r="O80" s="32"/>
    </row>
    <row r="81" spans="1:15" x14ac:dyDescent="0.25">
      <c r="B81" s="32">
        <v>15</v>
      </c>
      <c r="C81" s="32">
        <f t="shared" si="14"/>
        <v>3</v>
      </c>
      <c r="D81" s="32"/>
      <c r="E81" s="50">
        <f t="shared" si="16"/>
        <v>8.8199999999999985</v>
      </c>
      <c r="F81" s="32"/>
      <c r="L81" s="50">
        <f t="shared" si="17"/>
        <v>8</v>
      </c>
      <c r="M81" s="32" t="s">
        <v>141</v>
      </c>
      <c r="N81" s="50">
        <f t="shared" si="18"/>
        <v>25.2</v>
      </c>
      <c r="O81" s="32"/>
    </row>
    <row r="82" spans="1:15" x14ac:dyDescent="0.25">
      <c r="B82" s="32">
        <v>16</v>
      </c>
      <c r="C82" s="32">
        <f t="shared" si="14"/>
        <v>2</v>
      </c>
      <c r="D82" s="32"/>
      <c r="E82" s="50">
        <f t="shared" si="16"/>
        <v>9.8349999999999991</v>
      </c>
      <c r="F82" s="32"/>
      <c r="L82" s="50">
        <f t="shared" si="17"/>
        <v>9</v>
      </c>
      <c r="M82" s="32" t="s">
        <v>142</v>
      </c>
      <c r="N82" s="50">
        <f t="shared" si="18"/>
        <v>28.099999999999998</v>
      </c>
      <c r="O82" s="32"/>
    </row>
    <row r="83" spans="1:15" x14ac:dyDescent="0.25">
      <c r="B83" s="32">
        <v>17</v>
      </c>
      <c r="C83" s="32">
        <f t="shared" si="14"/>
        <v>1</v>
      </c>
      <c r="D83" s="32"/>
      <c r="E83" s="50">
        <f t="shared" si="16"/>
        <v>10.85</v>
      </c>
      <c r="F83" s="32"/>
      <c r="L83" s="50">
        <f t="shared" si="17"/>
        <v>10</v>
      </c>
      <c r="M83" s="32" t="s">
        <v>141</v>
      </c>
      <c r="N83" s="50">
        <f t="shared" si="18"/>
        <v>31</v>
      </c>
      <c r="O83" s="32"/>
    </row>
    <row r="86" spans="1:15" x14ac:dyDescent="0.25">
      <c r="A86" s="1" t="s">
        <v>145</v>
      </c>
      <c r="B86" s="1"/>
      <c r="C86" s="1"/>
      <c r="D86" s="1"/>
    </row>
    <row r="87" spans="1:15" x14ac:dyDescent="0.25">
      <c r="B87" t="s">
        <v>124</v>
      </c>
      <c r="C87" s="32">
        <v>18</v>
      </c>
      <c r="M87" t="s">
        <v>125</v>
      </c>
      <c r="N87" s="32">
        <v>0.7</v>
      </c>
    </row>
    <row r="88" spans="1:15" x14ac:dyDescent="0.25">
      <c r="B88" t="s">
        <v>126</v>
      </c>
      <c r="C88" s="32">
        <v>1</v>
      </c>
      <c r="M88" t="s">
        <v>127</v>
      </c>
      <c r="N88" s="32">
        <v>17.5</v>
      </c>
    </row>
    <row r="89" spans="1:15" x14ac:dyDescent="0.25">
      <c r="B89" t="s">
        <v>128</v>
      </c>
      <c r="C89" s="32">
        <v>18</v>
      </c>
      <c r="M89" t="s">
        <v>129</v>
      </c>
      <c r="N89" s="32">
        <v>1.43</v>
      </c>
    </row>
    <row r="90" spans="1:15" x14ac:dyDescent="0.25">
      <c r="B90" t="s">
        <v>130</v>
      </c>
      <c r="C90" s="32">
        <v>2</v>
      </c>
    </row>
    <row r="91" spans="1:15" x14ac:dyDescent="0.25">
      <c r="B91" t="s">
        <v>131</v>
      </c>
      <c r="C91" s="32">
        <v>7</v>
      </c>
    </row>
    <row r="92" spans="1:15" x14ac:dyDescent="0.25">
      <c r="B92" t="s">
        <v>132</v>
      </c>
      <c r="C92" s="32">
        <v>7</v>
      </c>
    </row>
    <row r="94" spans="1:15" x14ac:dyDescent="0.25">
      <c r="B94" s="32" t="s">
        <v>19</v>
      </c>
      <c r="C94" s="32" t="s">
        <v>133</v>
      </c>
      <c r="D94" s="32" t="s">
        <v>134</v>
      </c>
      <c r="E94" s="32" t="s">
        <v>135</v>
      </c>
      <c r="F94" s="32" t="s">
        <v>136</v>
      </c>
      <c r="G94" s="32"/>
      <c r="H94" s="32"/>
      <c r="I94" s="32"/>
      <c r="J94" s="32"/>
      <c r="K94" s="32"/>
      <c r="L94" s="32" t="s">
        <v>137</v>
      </c>
      <c r="M94" s="32" t="s">
        <v>138</v>
      </c>
      <c r="N94" s="32" t="s">
        <v>139</v>
      </c>
      <c r="O94" s="32" t="s">
        <v>140</v>
      </c>
    </row>
    <row r="95" spans="1:15" x14ac:dyDescent="0.25">
      <c r="B95" s="32">
        <v>1</v>
      </c>
      <c r="C95" s="32">
        <f>+$C$3-$C$4*B95</f>
        <v>17</v>
      </c>
      <c r="D95" s="32">
        <f>+$C$5-$C$6*B95</f>
        <v>16</v>
      </c>
      <c r="E95" s="32"/>
      <c r="F95" s="32"/>
    </row>
    <row r="96" spans="1:15" x14ac:dyDescent="0.25">
      <c r="B96" s="32">
        <v>2</v>
      </c>
      <c r="C96" s="32">
        <f t="shared" ref="C96:C111" si="19">+$C$3-$C$4*B96</f>
        <v>16</v>
      </c>
      <c r="D96" s="32">
        <f t="shared" ref="D96:D102" si="20">+$C$5-$C$6*B96</f>
        <v>14</v>
      </c>
      <c r="E96" s="32"/>
      <c r="F96" s="32"/>
      <c r="L96" s="32"/>
      <c r="M96" s="32"/>
      <c r="N96" s="32"/>
      <c r="O96" s="32"/>
    </row>
    <row r="97" spans="1:15" x14ac:dyDescent="0.25">
      <c r="B97" s="50">
        <v>3</v>
      </c>
      <c r="C97" s="50">
        <f t="shared" si="19"/>
        <v>15</v>
      </c>
      <c r="D97" s="50">
        <f t="shared" si="20"/>
        <v>12</v>
      </c>
      <c r="E97" s="50" t="s">
        <v>141</v>
      </c>
      <c r="F97" s="50"/>
      <c r="L97" s="32" t="s">
        <v>141</v>
      </c>
      <c r="M97" s="32"/>
      <c r="N97" s="32"/>
      <c r="O97" s="32"/>
    </row>
    <row r="98" spans="1:15" x14ac:dyDescent="0.25">
      <c r="B98" s="50">
        <v>4</v>
      </c>
      <c r="C98" s="50">
        <f t="shared" si="19"/>
        <v>14</v>
      </c>
      <c r="D98" s="50">
        <f t="shared" si="20"/>
        <v>10</v>
      </c>
      <c r="E98" s="50" t="s">
        <v>141</v>
      </c>
      <c r="F98" s="50" t="s">
        <v>141</v>
      </c>
      <c r="L98" s="32" t="s">
        <v>141</v>
      </c>
      <c r="M98" s="32" t="s">
        <v>141</v>
      </c>
      <c r="N98" s="32"/>
      <c r="O98" s="32"/>
    </row>
    <row r="99" spans="1:15" x14ac:dyDescent="0.25">
      <c r="B99" s="50">
        <v>5</v>
      </c>
      <c r="C99" s="50">
        <f t="shared" si="19"/>
        <v>13</v>
      </c>
      <c r="D99" s="50">
        <f t="shared" si="20"/>
        <v>8</v>
      </c>
      <c r="E99" s="50" t="s">
        <v>141</v>
      </c>
      <c r="F99" s="50" t="s">
        <v>141</v>
      </c>
      <c r="L99" s="32" t="s">
        <v>141</v>
      </c>
      <c r="M99" s="32" t="s">
        <v>141</v>
      </c>
      <c r="N99" s="32"/>
      <c r="O99" s="32"/>
    </row>
    <row r="100" spans="1:15" x14ac:dyDescent="0.25">
      <c r="B100" s="50">
        <v>6</v>
      </c>
      <c r="C100" s="50">
        <f t="shared" si="19"/>
        <v>12</v>
      </c>
      <c r="D100" s="50">
        <f t="shared" si="20"/>
        <v>6</v>
      </c>
      <c r="E100" s="50" t="s">
        <v>141</v>
      </c>
      <c r="F100" s="50" t="s">
        <v>141</v>
      </c>
      <c r="L100" s="32" t="s">
        <v>141</v>
      </c>
      <c r="M100" s="32" t="s">
        <v>141</v>
      </c>
      <c r="N100" s="32"/>
      <c r="O100" s="32"/>
    </row>
    <row r="101" spans="1:15" x14ac:dyDescent="0.25">
      <c r="A101" s="51"/>
      <c r="B101" s="49">
        <v>7</v>
      </c>
      <c r="C101" s="49">
        <f t="shared" si="19"/>
        <v>11</v>
      </c>
      <c r="D101" s="49">
        <f t="shared" si="20"/>
        <v>4</v>
      </c>
      <c r="E101" s="49">
        <f>+$N$87*N101</f>
        <v>12.25</v>
      </c>
      <c r="F101" s="49">
        <f>+$N$87*O101</f>
        <v>12.25</v>
      </c>
      <c r="G101" s="51"/>
      <c r="H101" s="51"/>
      <c r="I101" s="51"/>
      <c r="J101" s="51"/>
      <c r="K101" s="51"/>
      <c r="L101" s="49">
        <f>+B101-$C$63</f>
        <v>0</v>
      </c>
      <c r="M101" s="49">
        <f>+B101-$C$64</f>
        <v>0</v>
      </c>
      <c r="N101" s="49">
        <f>+($N$88+$N$89*(B101-$C$63))</f>
        <v>17.5</v>
      </c>
      <c r="O101" s="49">
        <f>+($N$88+$N$89*(B101-$C$64))</f>
        <v>17.5</v>
      </c>
    </row>
    <row r="102" spans="1:15" x14ac:dyDescent="0.25">
      <c r="B102" s="50">
        <v>8</v>
      </c>
      <c r="C102" s="50">
        <f t="shared" si="19"/>
        <v>10</v>
      </c>
      <c r="D102" s="50">
        <f t="shared" si="20"/>
        <v>2</v>
      </c>
      <c r="E102" s="50">
        <f t="shared" ref="E102:E111" si="21">+$N$87*N102</f>
        <v>13.250999999999999</v>
      </c>
      <c r="F102" s="50">
        <f>+$N$87*O102</f>
        <v>13.250999999999999</v>
      </c>
      <c r="G102" s="52"/>
      <c r="H102" s="52"/>
      <c r="I102" s="52"/>
      <c r="J102" s="52"/>
      <c r="K102" s="52"/>
      <c r="L102" s="50">
        <f t="shared" ref="L102:L111" si="22">+B102-$C$63</f>
        <v>1</v>
      </c>
      <c r="M102" s="50">
        <f>+B102-$C$64</f>
        <v>1</v>
      </c>
      <c r="N102" s="50">
        <f t="shared" ref="N102:N111" si="23">+($N$88+$N$89*(B102-$C$63))</f>
        <v>18.93</v>
      </c>
      <c r="O102" s="50">
        <f>+($N$88+$N$89*(B102-$C$64))</f>
        <v>18.93</v>
      </c>
    </row>
    <row r="103" spans="1:15" x14ac:dyDescent="0.25">
      <c r="B103" s="50">
        <v>9</v>
      </c>
      <c r="C103" s="50">
        <f t="shared" si="19"/>
        <v>9</v>
      </c>
      <c r="D103" s="50" t="s">
        <v>141</v>
      </c>
      <c r="E103" s="50">
        <f t="shared" si="21"/>
        <v>14.251999999999999</v>
      </c>
      <c r="F103" s="50"/>
      <c r="G103" s="52"/>
      <c r="H103" s="52"/>
      <c r="I103" s="52"/>
      <c r="J103" s="52"/>
      <c r="K103" s="52"/>
      <c r="L103" s="50">
        <f t="shared" si="22"/>
        <v>2</v>
      </c>
      <c r="M103" s="50" t="s">
        <v>141</v>
      </c>
      <c r="N103" s="50">
        <f t="shared" si="23"/>
        <v>20.36</v>
      </c>
      <c r="O103" s="50" t="s">
        <v>141</v>
      </c>
    </row>
    <row r="104" spans="1:15" x14ac:dyDescent="0.25">
      <c r="B104" s="50">
        <v>10</v>
      </c>
      <c r="C104" s="50">
        <f t="shared" si="19"/>
        <v>8</v>
      </c>
      <c r="D104" s="50"/>
      <c r="E104" s="50">
        <f t="shared" si="21"/>
        <v>15.252999999999998</v>
      </c>
      <c r="F104" s="50"/>
      <c r="G104" s="52"/>
      <c r="H104" s="52"/>
      <c r="I104" s="52"/>
      <c r="J104" s="52"/>
      <c r="K104" s="52"/>
      <c r="L104" s="50">
        <f t="shared" si="22"/>
        <v>3</v>
      </c>
      <c r="M104" s="50" t="s">
        <v>141</v>
      </c>
      <c r="N104" s="50">
        <f t="shared" si="23"/>
        <v>21.79</v>
      </c>
      <c r="O104" s="50"/>
    </row>
    <row r="105" spans="1:15" x14ac:dyDescent="0.25">
      <c r="B105" s="50">
        <v>11</v>
      </c>
      <c r="C105" s="50">
        <f t="shared" si="19"/>
        <v>7</v>
      </c>
      <c r="D105" s="50"/>
      <c r="E105" s="50">
        <f t="shared" si="21"/>
        <v>16.253999999999998</v>
      </c>
      <c r="F105" s="50"/>
      <c r="G105" s="52"/>
      <c r="H105" s="52"/>
      <c r="I105" s="52"/>
      <c r="J105" s="52"/>
      <c r="K105" s="52"/>
      <c r="L105" s="50">
        <f t="shared" si="22"/>
        <v>4</v>
      </c>
      <c r="M105" s="50" t="s">
        <v>141</v>
      </c>
      <c r="N105" s="50">
        <f t="shared" si="23"/>
        <v>23.22</v>
      </c>
      <c r="O105" s="50"/>
    </row>
    <row r="106" spans="1:15" x14ac:dyDescent="0.25">
      <c r="B106" s="50">
        <v>12</v>
      </c>
      <c r="C106" s="50">
        <f t="shared" si="19"/>
        <v>6</v>
      </c>
      <c r="D106" s="50"/>
      <c r="E106" s="50">
        <f t="shared" si="21"/>
        <v>17.254999999999999</v>
      </c>
      <c r="F106" s="50"/>
      <c r="G106" s="52"/>
      <c r="H106" s="52"/>
      <c r="I106" s="52"/>
      <c r="J106" s="52"/>
      <c r="K106" s="52"/>
      <c r="L106" s="50">
        <f t="shared" si="22"/>
        <v>5</v>
      </c>
      <c r="M106" s="50" t="s">
        <v>141</v>
      </c>
      <c r="N106" s="50">
        <f t="shared" si="23"/>
        <v>24.65</v>
      </c>
      <c r="O106" s="50"/>
    </row>
    <row r="107" spans="1:15" x14ac:dyDescent="0.25">
      <c r="B107" s="32">
        <v>13</v>
      </c>
      <c r="C107" s="32">
        <f t="shared" si="19"/>
        <v>5</v>
      </c>
      <c r="D107" s="32"/>
      <c r="E107" s="50">
        <f t="shared" si="21"/>
        <v>18.255999999999997</v>
      </c>
      <c r="F107" s="32"/>
      <c r="L107" s="50">
        <f t="shared" si="22"/>
        <v>6</v>
      </c>
      <c r="M107" s="32" t="s">
        <v>141</v>
      </c>
      <c r="N107" s="50">
        <f t="shared" si="23"/>
        <v>26.08</v>
      </c>
      <c r="O107" s="32"/>
    </row>
    <row r="108" spans="1:15" x14ac:dyDescent="0.25">
      <c r="B108" s="32">
        <v>14</v>
      </c>
      <c r="C108" s="32">
        <f t="shared" si="19"/>
        <v>4</v>
      </c>
      <c r="D108" s="32"/>
      <c r="E108" s="50">
        <f t="shared" si="21"/>
        <v>19.256999999999998</v>
      </c>
      <c r="F108" s="32"/>
      <c r="L108" s="50">
        <f t="shared" si="22"/>
        <v>7</v>
      </c>
      <c r="M108" s="32" t="s">
        <v>141</v>
      </c>
      <c r="N108" s="50">
        <f t="shared" si="23"/>
        <v>27.509999999999998</v>
      </c>
      <c r="O108" s="32"/>
    </row>
    <row r="109" spans="1:15" x14ac:dyDescent="0.25">
      <c r="B109" s="32">
        <v>15</v>
      </c>
      <c r="C109" s="32">
        <f t="shared" si="19"/>
        <v>3</v>
      </c>
      <c r="D109" s="32"/>
      <c r="E109" s="50">
        <f t="shared" si="21"/>
        <v>20.257999999999996</v>
      </c>
      <c r="F109" s="32"/>
      <c r="L109" s="50">
        <f t="shared" si="22"/>
        <v>8</v>
      </c>
      <c r="M109" s="32" t="s">
        <v>141</v>
      </c>
      <c r="N109" s="50">
        <f t="shared" si="23"/>
        <v>28.939999999999998</v>
      </c>
      <c r="O109" s="32"/>
    </row>
    <row r="110" spans="1:15" x14ac:dyDescent="0.25">
      <c r="B110" s="32">
        <v>16</v>
      </c>
      <c r="C110" s="32">
        <f t="shared" si="19"/>
        <v>2</v>
      </c>
      <c r="D110" s="32"/>
      <c r="E110" s="50">
        <f t="shared" si="21"/>
        <v>21.258999999999997</v>
      </c>
      <c r="F110" s="32"/>
      <c r="L110" s="50">
        <f t="shared" si="22"/>
        <v>9</v>
      </c>
      <c r="M110" s="32" t="s">
        <v>142</v>
      </c>
      <c r="N110" s="50">
        <f t="shared" si="23"/>
        <v>30.369999999999997</v>
      </c>
      <c r="O110" s="32"/>
    </row>
    <row r="111" spans="1:15" x14ac:dyDescent="0.25">
      <c r="B111" s="32">
        <v>17</v>
      </c>
      <c r="C111" s="32">
        <f t="shared" si="19"/>
        <v>1</v>
      </c>
      <c r="D111" s="32"/>
      <c r="E111" s="50">
        <f t="shared" si="21"/>
        <v>22.259999999999998</v>
      </c>
      <c r="F111" s="32"/>
      <c r="L111" s="50">
        <f t="shared" si="22"/>
        <v>10</v>
      </c>
      <c r="M111" s="32" t="s">
        <v>141</v>
      </c>
      <c r="N111" s="50">
        <f t="shared" si="23"/>
        <v>31.799999999999997</v>
      </c>
      <c r="O111" s="32"/>
    </row>
  </sheetData>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1"/>
  <sheetViews>
    <sheetView workbookViewId="0">
      <selection activeCell="O10" sqref="O10"/>
    </sheetView>
  </sheetViews>
  <sheetFormatPr baseColWidth="10" defaultColWidth="9.140625" defaultRowHeight="15" x14ac:dyDescent="0.25"/>
  <sheetData>
    <row r="2" spans="1:15" x14ac:dyDescent="0.25">
      <c r="A2" s="1" t="s">
        <v>123</v>
      </c>
      <c r="B2" s="1"/>
      <c r="C2" s="1"/>
      <c r="D2" s="1"/>
    </row>
    <row r="3" spans="1:15" x14ac:dyDescent="0.25">
      <c r="B3" t="s">
        <v>124</v>
      </c>
      <c r="C3" s="32">
        <v>18</v>
      </c>
      <c r="D3" t="s">
        <v>146</v>
      </c>
      <c r="M3" s="13" t="s">
        <v>125</v>
      </c>
      <c r="N3" s="57">
        <v>0.7</v>
      </c>
    </row>
    <row r="4" spans="1:15" x14ac:dyDescent="0.25">
      <c r="B4" t="s">
        <v>126</v>
      </c>
      <c r="C4" s="32">
        <v>1</v>
      </c>
      <c r="D4" t="s">
        <v>147</v>
      </c>
      <c r="M4" s="13" t="s">
        <v>127</v>
      </c>
      <c r="N4" s="57">
        <v>23</v>
      </c>
    </row>
    <row r="5" spans="1:15" x14ac:dyDescent="0.25">
      <c r="B5" t="s">
        <v>128</v>
      </c>
      <c r="C5" s="32">
        <v>18</v>
      </c>
      <c r="M5" s="13" t="s">
        <v>129</v>
      </c>
      <c r="N5" s="57">
        <v>1.43</v>
      </c>
    </row>
    <row r="6" spans="1:15" x14ac:dyDescent="0.25">
      <c r="B6" t="s">
        <v>130</v>
      </c>
      <c r="C6" s="32">
        <v>2</v>
      </c>
    </row>
    <row r="7" spans="1:15" x14ac:dyDescent="0.25">
      <c r="B7" t="s">
        <v>150</v>
      </c>
      <c r="C7" s="32">
        <v>3</v>
      </c>
      <c r="D7" t="s">
        <v>148</v>
      </c>
    </row>
    <row r="8" spans="1:15" x14ac:dyDescent="0.25">
      <c r="B8" t="s">
        <v>151</v>
      </c>
      <c r="C8" s="32">
        <v>4</v>
      </c>
      <c r="D8" t="s">
        <v>149</v>
      </c>
    </row>
    <row r="10" spans="1:15" x14ac:dyDescent="0.25">
      <c r="B10" t="s">
        <v>19</v>
      </c>
      <c r="C10" t="s">
        <v>133</v>
      </c>
      <c r="D10" t="s">
        <v>134</v>
      </c>
      <c r="E10" t="s">
        <v>135</v>
      </c>
      <c r="F10" t="s">
        <v>136</v>
      </c>
      <c r="M10" t="s">
        <v>69</v>
      </c>
      <c r="N10" t="s">
        <v>174</v>
      </c>
    </row>
    <row r="11" spans="1:15" x14ac:dyDescent="0.25">
      <c r="B11" s="32">
        <v>1</v>
      </c>
      <c r="C11" s="32">
        <f>+$C$3-$C$4*B11</f>
        <v>17</v>
      </c>
      <c r="D11" s="32">
        <f>+$C$5-$C$6*B11</f>
        <v>16</v>
      </c>
      <c r="M11" s="32">
        <f t="shared" ref="M11:M24" si="0">+B14-$C$7</f>
        <v>1</v>
      </c>
      <c r="N11" s="32">
        <f>+($N$4+$N$5*(M11))</f>
        <v>24.43</v>
      </c>
      <c r="O11" s="32"/>
    </row>
    <row r="12" spans="1:15" x14ac:dyDescent="0.25">
      <c r="B12" s="32">
        <v>2</v>
      </c>
      <c r="C12" s="32">
        <f t="shared" ref="C12:C27" si="1">+$C$3-$C$4*B12</f>
        <v>16</v>
      </c>
      <c r="D12" s="32">
        <f t="shared" ref="D12:D18" si="2">+$C$5-$C$6*B12</f>
        <v>14</v>
      </c>
      <c r="J12" s="32"/>
      <c r="K12" s="32"/>
      <c r="M12" s="32">
        <f t="shared" si="0"/>
        <v>2</v>
      </c>
      <c r="N12" s="59">
        <f t="shared" ref="N12:N24" si="3">+($N$4+$N$5*(M12))</f>
        <v>25.86</v>
      </c>
      <c r="O12" s="59"/>
    </row>
    <row r="13" spans="1:15" x14ac:dyDescent="0.25">
      <c r="A13" s="53" t="s">
        <v>150</v>
      </c>
      <c r="B13" s="63">
        <v>3</v>
      </c>
      <c r="C13" s="64">
        <f t="shared" si="1"/>
        <v>15</v>
      </c>
      <c r="D13" s="32">
        <f t="shared" si="2"/>
        <v>12</v>
      </c>
      <c r="J13" s="32"/>
      <c r="K13" s="32"/>
      <c r="M13" s="32">
        <f t="shared" si="0"/>
        <v>3</v>
      </c>
      <c r="N13" s="59">
        <f t="shared" si="3"/>
        <v>27.29</v>
      </c>
      <c r="O13" s="59"/>
    </row>
    <row r="14" spans="1:15" x14ac:dyDescent="0.25">
      <c r="A14" s="53" t="s">
        <v>151</v>
      </c>
      <c r="B14" s="66">
        <v>4</v>
      </c>
      <c r="C14" s="58">
        <f t="shared" si="1"/>
        <v>14</v>
      </c>
      <c r="D14" s="67">
        <f t="shared" si="2"/>
        <v>10</v>
      </c>
      <c r="E14" s="58">
        <f>+$N$3*N11</f>
        <v>17.100999999999999</v>
      </c>
      <c r="F14" s="56"/>
      <c r="G14" s="32"/>
      <c r="M14" s="32">
        <f t="shared" si="0"/>
        <v>4</v>
      </c>
      <c r="N14" s="59">
        <f t="shared" si="3"/>
        <v>28.72</v>
      </c>
      <c r="O14" s="59"/>
    </row>
    <row r="15" spans="1:15" x14ac:dyDescent="0.25">
      <c r="B15" s="32">
        <v>5</v>
      </c>
      <c r="C15" s="32">
        <f t="shared" si="1"/>
        <v>13</v>
      </c>
      <c r="D15" s="32">
        <f t="shared" si="2"/>
        <v>8</v>
      </c>
      <c r="E15" s="58">
        <f t="shared" ref="E15:E27" si="4">+$N$3*N12</f>
        <v>18.101999999999997</v>
      </c>
      <c r="F15" s="32">
        <f>E14</f>
        <v>17.100999999999999</v>
      </c>
      <c r="G15" s="32"/>
      <c r="M15" s="32">
        <f t="shared" si="0"/>
        <v>5</v>
      </c>
      <c r="N15" s="59">
        <f t="shared" si="3"/>
        <v>30.15</v>
      </c>
      <c r="O15" s="59"/>
    </row>
    <row r="16" spans="1:15" x14ac:dyDescent="0.25">
      <c r="B16" s="32">
        <v>6</v>
      </c>
      <c r="C16" s="32">
        <f t="shared" si="1"/>
        <v>12</v>
      </c>
      <c r="D16" s="32">
        <f t="shared" si="2"/>
        <v>6</v>
      </c>
      <c r="E16" s="58">
        <f t="shared" si="4"/>
        <v>19.102999999999998</v>
      </c>
      <c r="F16" s="59">
        <f t="shared" ref="F16:F18" si="5">E15</f>
        <v>18.101999999999997</v>
      </c>
      <c r="G16" s="32"/>
      <c r="M16" s="32">
        <f t="shared" si="0"/>
        <v>6</v>
      </c>
      <c r="N16" s="59">
        <f t="shared" si="3"/>
        <v>31.58</v>
      </c>
      <c r="O16" s="32" t="s">
        <v>141</v>
      </c>
    </row>
    <row r="17" spans="1:15" x14ac:dyDescent="0.25">
      <c r="B17" s="58">
        <v>7</v>
      </c>
      <c r="C17" s="58">
        <f t="shared" si="1"/>
        <v>11</v>
      </c>
      <c r="D17" s="58">
        <f t="shared" si="2"/>
        <v>4</v>
      </c>
      <c r="E17" s="58">
        <f t="shared" si="4"/>
        <v>20.103999999999999</v>
      </c>
      <c r="F17" s="59">
        <f t="shared" si="5"/>
        <v>19.102999999999998</v>
      </c>
      <c r="G17" s="32"/>
      <c r="M17" s="58">
        <f t="shared" si="0"/>
        <v>7</v>
      </c>
      <c r="N17" s="59">
        <f t="shared" si="3"/>
        <v>33.01</v>
      </c>
      <c r="O17" s="32"/>
    </row>
    <row r="18" spans="1:15" x14ac:dyDescent="0.25">
      <c r="B18" s="32">
        <v>8</v>
      </c>
      <c r="C18" s="32">
        <f t="shared" si="1"/>
        <v>10</v>
      </c>
      <c r="D18" s="32">
        <f t="shared" si="2"/>
        <v>2</v>
      </c>
      <c r="E18" s="58">
        <f t="shared" si="4"/>
        <v>21.104999999999997</v>
      </c>
      <c r="F18" s="59">
        <f t="shared" si="5"/>
        <v>20.103999999999999</v>
      </c>
      <c r="G18" s="32"/>
      <c r="M18" s="32">
        <f t="shared" si="0"/>
        <v>8</v>
      </c>
      <c r="N18" s="59">
        <f t="shared" si="3"/>
        <v>34.44</v>
      </c>
      <c r="O18" s="32"/>
    </row>
    <row r="19" spans="1:15" x14ac:dyDescent="0.25">
      <c r="B19" s="32">
        <v>9</v>
      </c>
      <c r="C19" s="32">
        <f t="shared" si="1"/>
        <v>9</v>
      </c>
      <c r="D19" s="32" t="s">
        <v>141</v>
      </c>
      <c r="E19" s="58">
        <f t="shared" si="4"/>
        <v>22.105999999999998</v>
      </c>
      <c r="F19" s="32"/>
      <c r="G19" s="32"/>
      <c r="M19" s="32">
        <f t="shared" si="0"/>
        <v>9</v>
      </c>
      <c r="N19" s="59">
        <f t="shared" si="3"/>
        <v>35.869999999999997</v>
      </c>
      <c r="O19" s="32"/>
    </row>
    <row r="20" spans="1:15" x14ac:dyDescent="0.25">
      <c r="B20" s="58">
        <v>10</v>
      </c>
      <c r="C20" s="58">
        <f t="shared" si="1"/>
        <v>8</v>
      </c>
      <c r="D20" s="58"/>
      <c r="E20" s="58">
        <f t="shared" si="4"/>
        <v>23.106999999999996</v>
      </c>
      <c r="F20" s="32"/>
      <c r="G20" s="32"/>
      <c r="M20" s="32">
        <f t="shared" si="0"/>
        <v>10</v>
      </c>
      <c r="N20" s="59">
        <f t="shared" si="3"/>
        <v>37.299999999999997</v>
      </c>
      <c r="O20" s="32"/>
    </row>
    <row r="21" spans="1:15" x14ac:dyDescent="0.25">
      <c r="B21" s="32">
        <v>11</v>
      </c>
      <c r="C21" s="32">
        <f t="shared" si="1"/>
        <v>7</v>
      </c>
      <c r="D21" s="32"/>
      <c r="E21" s="58">
        <f t="shared" si="4"/>
        <v>24.107999999999997</v>
      </c>
      <c r="F21" s="32"/>
      <c r="G21" s="32"/>
      <c r="M21" s="32">
        <f t="shared" si="0"/>
        <v>11</v>
      </c>
      <c r="N21" s="59">
        <f t="shared" si="3"/>
        <v>38.729999999999997</v>
      </c>
      <c r="O21" s="32"/>
    </row>
    <row r="22" spans="1:15" x14ac:dyDescent="0.25">
      <c r="B22" s="32">
        <v>12</v>
      </c>
      <c r="C22" s="32">
        <f t="shared" si="1"/>
        <v>6</v>
      </c>
      <c r="D22" s="32"/>
      <c r="E22" s="58">
        <f t="shared" si="4"/>
        <v>25.108999999999998</v>
      </c>
      <c r="F22" s="32"/>
      <c r="G22" s="32"/>
      <c r="M22" s="32">
        <f t="shared" si="0"/>
        <v>12</v>
      </c>
      <c r="N22" s="59">
        <f t="shared" si="3"/>
        <v>40.159999999999997</v>
      </c>
      <c r="O22" s="32"/>
    </row>
    <row r="23" spans="1:15" x14ac:dyDescent="0.25">
      <c r="B23" s="32">
        <v>13</v>
      </c>
      <c r="C23" s="32">
        <f t="shared" si="1"/>
        <v>5</v>
      </c>
      <c r="D23" s="32"/>
      <c r="E23" s="58">
        <f t="shared" si="4"/>
        <v>26.109999999999996</v>
      </c>
      <c r="F23" s="32"/>
      <c r="G23" s="32"/>
      <c r="M23" s="32">
        <f t="shared" si="0"/>
        <v>13</v>
      </c>
      <c r="N23" s="59">
        <f t="shared" si="3"/>
        <v>41.59</v>
      </c>
      <c r="O23" s="32"/>
    </row>
    <row r="24" spans="1:15" x14ac:dyDescent="0.25">
      <c r="B24" s="32">
        <v>14</v>
      </c>
      <c r="C24" s="32">
        <f t="shared" si="1"/>
        <v>4</v>
      </c>
      <c r="D24" s="32"/>
      <c r="E24" s="58">
        <f t="shared" si="4"/>
        <v>27.110999999999997</v>
      </c>
      <c r="F24" s="32"/>
      <c r="G24" s="32"/>
      <c r="M24" s="32">
        <f t="shared" si="0"/>
        <v>14</v>
      </c>
      <c r="N24" s="59">
        <f t="shared" si="3"/>
        <v>43.019999999999996</v>
      </c>
      <c r="O24" s="32"/>
    </row>
    <row r="25" spans="1:15" x14ac:dyDescent="0.25">
      <c r="B25" s="32">
        <v>15</v>
      </c>
      <c r="C25" s="32">
        <f t="shared" si="1"/>
        <v>3</v>
      </c>
      <c r="D25" s="32"/>
      <c r="E25" s="58">
        <f t="shared" si="4"/>
        <v>28.111999999999995</v>
      </c>
      <c r="F25" s="32"/>
      <c r="G25" s="32"/>
    </row>
    <row r="26" spans="1:15" x14ac:dyDescent="0.25">
      <c r="B26" s="32">
        <v>16</v>
      </c>
      <c r="C26" s="32">
        <f t="shared" si="1"/>
        <v>2</v>
      </c>
      <c r="D26" s="32"/>
      <c r="E26" s="58">
        <f t="shared" si="4"/>
        <v>29.113</v>
      </c>
      <c r="F26" s="32"/>
      <c r="G26" s="32"/>
    </row>
    <row r="27" spans="1:15" x14ac:dyDescent="0.25">
      <c r="B27" s="32">
        <v>17</v>
      </c>
      <c r="C27" s="32">
        <f t="shared" si="1"/>
        <v>1</v>
      </c>
      <c r="D27" s="32"/>
      <c r="E27" s="58">
        <f t="shared" si="4"/>
        <v>30.113999999999994</v>
      </c>
      <c r="F27" s="32"/>
      <c r="M27" t="s">
        <v>125</v>
      </c>
    </row>
    <row r="28" spans="1:15" x14ac:dyDescent="0.25">
      <c r="B28" t="s">
        <v>141</v>
      </c>
      <c r="C28" t="s">
        <v>141</v>
      </c>
      <c r="M28" t="s">
        <v>127</v>
      </c>
      <c r="N28" s="32">
        <v>0.7</v>
      </c>
    </row>
    <row r="29" spans="1:15" x14ac:dyDescent="0.25">
      <c r="M29" t="s">
        <v>129</v>
      </c>
      <c r="N29" s="32">
        <v>17.5</v>
      </c>
    </row>
    <row r="30" spans="1:15" x14ac:dyDescent="0.25">
      <c r="A30" s="1" t="s">
        <v>143</v>
      </c>
      <c r="B30" s="1"/>
      <c r="C30" s="1"/>
      <c r="D30" s="1"/>
      <c r="N30" s="32">
        <v>1.43</v>
      </c>
    </row>
    <row r="31" spans="1:15" x14ac:dyDescent="0.25">
      <c r="B31" t="s">
        <v>124</v>
      </c>
      <c r="C31" s="32">
        <v>18</v>
      </c>
    </row>
    <row r="32" spans="1:15" x14ac:dyDescent="0.25">
      <c r="B32" t="s">
        <v>126</v>
      </c>
      <c r="C32" s="32">
        <v>1</v>
      </c>
    </row>
    <row r="33" spans="2:15" x14ac:dyDescent="0.25">
      <c r="B33" t="s">
        <v>128</v>
      </c>
      <c r="C33" s="32">
        <v>18</v>
      </c>
    </row>
    <row r="34" spans="2:15" x14ac:dyDescent="0.25">
      <c r="B34" t="s">
        <v>130</v>
      </c>
      <c r="C34" s="32">
        <v>2</v>
      </c>
      <c r="M34" t="s">
        <v>138</v>
      </c>
    </row>
    <row r="35" spans="2:15" x14ac:dyDescent="0.25">
      <c r="B35" t="s">
        <v>131</v>
      </c>
      <c r="C35" s="32">
        <v>3</v>
      </c>
      <c r="E35" t="s">
        <v>135</v>
      </c>
      <c r="L35" t="s">
        <v>137</v>
      </c>
      <c r="N35" t="s">
        <v>139</v>
      </c>
      <c r="O35" t="s">
        <v>140</v>
      </c>
    </row>
    <row r="36" spans="2:15" x14ac:dyDescent="0.25">
      <c r="B36" t="s">
        <v>132</v>
      </c>
      <c r="C36" s="32">
        <v>4</v>
      </c>
      <c r="E36" s="32"/>
      <c r="M36" s="32"/>
    </row>
    <row r="37" spans="2:15" x14ac:dyDescent="0.25">
      <c r="E37" s="32"/>
      <c r="L37" s="32"/>
      <c r="M37" s="32"/>
      <c r="N37" s="32"/>
      <c r="O37" s="32"/>
    </row>
    <row r="38" spans="2:15" x14ac:dyDescent="0.25">
      <c r="B38" t="s">
        <v>19</v>
      </c>
      <c r="C38" t="s">
        <v>133</v>
      </c>
      <c r="D38" t="s">
        <v>134</v>
      </c>
      <c r="E38" s="32">
        <f t="shared" ref="E38:E52" si="6">+$N$28*N38</f>
        <v>12.25</v>
      </c>
      <c r="F38" t="s">
        <v>136</v>
      </c>
      <c r="L38" s="50">
        <f>+B41-$C$7</f>
        <v>0</v>
      </c>
      <c r="M38" s="49">
        <f>+B42-$C$8</f>
        <v>0</v>
      </c>
      <c r="N38" s="50">
        <f t="shared" ref="N38:N52" si="7">+($N$29+$N$30*(B41-$C$7))</f>
        <v>17.5</v>
      </c>
      <c r="O38" s="32"/>
    </row>
    <row r="39" spans="2:15" x14ac:dyDescent="0.25">
      <c r="B39" s="32">
        <v>1</v>
      </c>
      <c r="C39" s="32">
        <f>+$C$3-$C$4*B39</f>
        <v>17</v>
      </c>
      <c r="D39" s="32">
        <f>+$C$5-$C$6*B39</f>
        <v>16</v>
      </c>
      <c r="E39" s="48">
        <f t="shared" si="6"/>
        <v>13.250999999999999</v>
      </c>
      <c r="F39" s="32"/>
      <c r="L39" s="48">
        <f t="shared" ref="L39:L52" si="8">+B42-$C$7</f>
        <v>1</v>
      </c>
      <c r="M39" s="32">
        <f t="shared" ref="M39:M42" si="9">+B43-$C$8</f>
        <v>1</v>
      </c>
      <c r="N39" s="48">
        <f t="shared" si="7"/>
        <v>18.93</v>
      </c>
      <c r="O39" s="49">
        <f>+($N$29+$N$30*(B42-$C$8))</f>
        <v>17.5</v>
      </c>
    </row>
    <row r="40" spans="2:15" x14ac:dyDescent="0.25">
      <c r="B40" s="32">
        <v>2</v>
      </c>
      <c r="C40" s="32">
        <f t="shared" ref="C40:C55" si="10">+$C$3-$C$4*B40</f>
        <v>16</v>
      </c>
      <c r="D40" s="32">
        <f t="shared" ref="D40:D46" si="11">+$C$5-$C$6*B40</f>
        <v>14</v>
      </c>
      <c r="E40" s="32">
        <f t="shared" si="6"/>
        <v>14.251999999999999</v>
      </c>
      <c r="F40" s="32"/>
      <c r="L40" s="32">
        <f t="shared" si="8"/>
        <v>2</v>
      </c>
      <c r="M40" s="32">
        <f t="shared" si="9"/>
        <v>2</v>
      </c>
      <c r="N40" s="32">
        <f t="shared" si="7"/>
        <v>20.36</v>
      </c>
      <c r="O40" s="32">
        <f>+($N$29+$N$30*(B43-$C$8))</f>
        <v>18.93</v>
      </c>
    </row>
    <row r="41" spans="2:15" x14ac:dyDescent="0.25">
      <c r="B41" s="48">
        <v>3</v>
      </c>
      <c r="C41" s="48">
        <f t="shared" si="10"/>
        <v>15</v>
      </c>
      <c r="D41" s="32">
        <f t="shared" si="11"/>
        <v>12</v>
      </c>
      <c r="E41" s="32">
        <f t="shared" si="6"/>
        <v>15.252999999999998</v>
      </c>
      <c r="F41" s="32"/>
      <c r="L41" s="32">
        <f t="shared" si="8"/>
        <v>3</v>
      </c>
      <c r="M41" s="50">
        <f t="shared" si="9"/>
        <v>3</v>
      </c>
      <c r="N41" s="32">
        <f t="shared" si="7"/>
        <v>21.79</v>
      </c>
      <c r="O41" s="32">
        <f>+($N$29+$N$30*(B44-$C$8))</f>
        <v>20.36</v>
      </c>
    </row>
    <row r="42" spans="2:15" x14ac:dyDescent="0.25">
      <c r="B42" s="49">
        <v>4</v>
      </c>
      <c r="C42" s="48">
        <f t="shared" si="10"/>
        <v>14</v>
      </c>
      <c r="D42" s="49">
        <f t="shared" si="11"/>
        <v>10</v>
      </c>
      <c r="E42" s="32">
        <f t="shared" si="6"/>
        <v>16.253999999999998</v>
      </c>
      <c r="F42" s="32">
        <f>+$N$28*O39</f>
        <v>12.25</v>
      </c>
      <c r="L42" s="32">
        <f t="shared" si="8"/>
        <v>4</v>
      </c>
      <c r="M42" s="32">
        <f t="shared" si="9"/>
        <v>4</v>
      </c>
      <c r="N42" s="32">
        <f t="shared" si="7"/>
        <v>23.22</v>
      </c>
      <c r="O42" s="32">
        <f>+($N$29+$N$30*(B45-$C$8))</f>
        <v>21.79</v>
      </c>
    </row>
    <row r="43" spans="2:15" x14ac:dyDescent="0.25">
      <c r="B43" s="32">
        <v>5</v>
      </c>
      <c r="C43" s="32">
        <f t="shared" si="10"/>
        <v>13</v>
      </c>
      <c r="D43" s="32">
        <f t="shared" si="11"/>
        <v>8</v>
      </c>
      <c r="E43" s="32">
        <f t="shared" si="6"/>
        <v>17.254999999999999</v>
      </c>
      <c r="F43" s="32">
        <f t="shared" ref="F43:F46" si="12">+$N$28*O40</f>
        <v>13.250999999999999</v>
      </c>
      <c r="L43" s="32">
        <f t="shared" si="8"/>
        <v>5</v>
      </c>
      <c r="M43" s="32" t="s">
        <v>141</v>
      </c>
      <c r="N43" s="32">
        <f t="shared" si="7"/>
        <v>24.65</v>
      </c>
      <c r="O43" s="32">
        <f>+($N$29+$N$30*(B46-$C$8))</f>
        <v>23.22</v>
      </c>
    </row>
    <row r="44" spans="2:15" x14ac:dyDescent="0.25">
      <c r="B44" s="32">
        <v>6</v>
      </c>
      <c r="C44" s="32">
        <f t="shared" si="10"/>
        <v>12</v>
      </c>
      <c r="D44" s="32">
        <f t="shared" si="11"/>
        <v>6</v>
      </c>
      <c r="E44" s="32">
        <f t="shared" si="6"/>
        <v>18.255999999999997</v>
      </c>
      <c r="F44" s="32">
        <f t="shared" si="12"/>
        <v>14.251999999999999</v>
      </c>
      <c r="L44" s="32">
        <f t="shared" si="8"/>
        <v>6</v>
      </c>
      <c r="M44" s="50" t="s">
        <v>141</v>
      </c>
      <c r="N44" s="32">
        <f t="shared" si="7"/>
        <v>26.08</v>
      </c>
      <c r="O44" s="32" t="s">
        <v>141</v>
      </c>
    </row>
    <row r="45" spans="2:15" x14ac:dyDescent="0.25">
      <c r="B45" s="50">
        <v>7</v>
      </c>
      <c r="C45" s="32">
        <f t="shared" si="10"/>
        <v>11</v>
      </c>
      <c r="D45" s="50">
        <f t="shared" si="11"/>
        <v>4</v>
      </c>
      <c r="E45" s="32">
        <f t="shared" si="6"/>
        <v>19.256999999999998</v>
      </c>
      <c r="F45" s="32">
        <f t="shared" si="12"/>
        <v>15.252999999999998</v>
      </c>
      <c r="L45" s="50">
        <f t="shared" si="8"/>
        <v>7</v>
      </c>
      <c r="M45" s="32" t="s">
        <v>141</v>
      </c>
      <c r="N45" s="32">
        <f t="shared" si="7"/>
        <v>27.509999999999998</v>
      </c>
      <c r="O45" s="32"/>
    </row>
    <row r="46" spans="2:15" x14ac:dyDescent="0.25">
      <c r="B46" s="32">
        <v>8</v>
      </c>
      <c r="C46" s="32">
        <f t="shared" si="10"/>
        <v>10</v>
      </c>
      <c r="D46" s="32">
        <f t="shared" si="11"/>
        <v>2</v>
      </c>
      <c r="E46" s="32">
        <f t="shared" si="6"/>
        <v>20.257999999999996</v>
      </c>
      <c r="F46" s="32">
        <f t="shared" si="12"/>
        <v>16.253999999999998</v>
      </c>
      <c r="L46" s="32">
        <f t="shared" si="8"/>
        <v>8</v>
      </c>
      <c r="M46" s="32" t="s">
        <v>141</v>
      </c>
      <c r="N46" s="32">
        <f t="shared" si="7"/>
        <v>28.939999999999998</v>
      </c>
      <c r="O46" s="32"/>
    </row>
    <row r="47" spans="2:15" x14ac:dyDescent="0.25">
      <c r="B47" s="32">
        <v>9</v>
      </c>
      <c r="C47" s="32">
        <f t="shared" si="10"/>
        <v>9</v>
      </c>
      <c r="D47" s="32" t="s">
        <v>141</v>
      </c>
      <c r="E47" s="32">
        <f t="shared" si="6"/>
        <v>21.258999999999997</v>
      </c>
      <c r="F47" s="32"/>
      <c r="L47" s="32">
        <f t="shared" si="8"/>
        <v>9</v>
      </c>
      <c r="M47" s="32" t="s">
        <v>141</v>
      </c>
      <c r="N47" s="32">
        <f t="shared" si="7"/>
        <v>30.369999999999997</v>
      </c>
      <c r="O47" s="32"/>
    </row>
    <row r="48" spans="2:15" x14ac:dyDescent="0.25">
      <c r="B48" s="50">
        <v>10</v>
      </c>
      <c r="C48" s="50">
        <f t="shared" si="10"/>
        <v>8</v>
      </c>
      <c r="D48" s="50"/>
      <c r="E48" s="32">
        <f t="shared" si="6"/>
        <v>22.259999999999998</v>
      </c>
      <c r="F48" s="32"/>
      <c r="L48" s="32">
        <f t="shared" si="8"/>
        <v>10</v>
      </c>
      <c r="M48" s="32" t="s">
        <v>141</v>
      </c>
      <c r="N48" s="32">
        <f t="shared" si="7"/>
        <v>31.799999999999997</v>
      </c>
      <c r="O48" s="32"/>
    </row>
    <row r="49" spans="1:15" x14ac:dyDescent="0.25">
      <c r="B49" s="32">
        <v>11</v>
      </c>
      <c r="C49" s="32">
        <f t="shared" si="10"/>
        <v>7</v>
      </c>
      <c r="D49" s="32"/>
      <c r="E49" s="32">
        <f t="shared" si="6"/>
        <v>23.260999999999996</v>
      </c>
      <c r="F49" s="32"/>
      <c r="L49" s="32">
        <f t="shared" si="8"/>
        <v>11</v>
      </c>
      <c r="M49" s="32" t="s">
        <v>141</v>
      </c>
      <c r="N49" s="32">
        <f t="shared" si="7"/>
        <v>33.229999999999997</v>
      </c>
      <c r="O49" s="32"/>
    </row>
    <row r="50" spans="1:15" x14ac:dyDescent="0.25">
      <c r="B50" s="32">
        <v>12</v>
      </c>
      <c r="C50" s="32">
        <f t="shared" si="10"/>
        <v>6</v>
      </c>
      <c r="D50" s="32"/>
      <c r="E50" s="32">
        <f t="shared" si="6"/>
        <v>24.261999999999997</v>
      </c>
      <c r="F50" s="32"/>
      <c r="L50" s="32">
        <f t="shared" si="8"/>
        <v>12</v>
      </c>
      <c r="M50" s="32" t="s">
        <v>142</v>
      </c>
      <c r="N50" s="32">
        <f t="shared" si="7"/>
        <v>34.659999999999997</v>
      </c>
      <c r="O50" s="32"/>
    </row>
    <row r="51" spans="1:15" x14ac:dyDescent="0.25">
      <c r="B51" s="32">
        <v>13</v>
      </c>
      <c r="C51" s="32">
        <f t="shared" si="10"/>
        <v>5</v>
      </c>
      <c r="D51" s="32"/>
      <c r="E51" s="32">
        <f t="shared" si="6"/>
        <v>25.263000000000002</v>
      </c>
      <c r="F51" s="32"/>
      <c r="L51" s="32">
        <f t="shared" si="8"/>
        <v>13</v>
      </c>
      <c r="M51" s="32" t="s">
        <v>141</v>
      </c>
      <c r="N51" s="32">
        <f t="shared" si="7"/>
        <v>36.090000000000003</v>
      </c>
      <c r="O51" s="32"/>
    </row>
    <row r="52" spans="1:15" x14ac:dyDescent="0.25">
      <c r="B52" s="32">
        <v>14</v>
      </c>
      <c r="C52" s="32">
        <f t="shared" si="10"/>
        <v>4</v>
      </c>
      <c r="D52" s="32"/>
      <c r="E52" s="32">
        <f t="shared" si="6"/>
        <v>26.263999999999996</v>
      </c>
      <c r="F52" s="32"/>
      <c r="L52" s="32">
        <f t="shared" si="8"/>
        <v>14</v>
      </c>
      <c r="N52" s="32">
        <f t="shared" si="7"/>
        <v>37.519999999999996</v>
      </c>
      <c r="O52" s="32"/>
    </row>
    <row r="53" spans="1:15" x14ac:dyDescent="0.25">
      <c r="B53" s="32">
        <v>15</v>
      </c>
      <c r="C53" s="32">
        <f t="shared" si="10"/>
        <v>3</v>
      </c>
      <c r="D53" s="32"/>
      <c r="F53" s="32"/>
    </row>
    <row r="54" spans="1:15" x14ac:dyDescent="0.25">
      <c r="B54" s="32">
        <v>16</v>
      </c>
      <c r="C54" s="32">
        <f t="shared" si="10"/>
        <v>2</v>
      </c>
      <c r="D54" s="32"/>
      <c r="F54" s="32"/>
    </row>
    <row r="55" spans="1:15" x14ac:dyDescent="0.25">
      <c r="B55" s="32">
        <v>17</v>
      </c>
      <c r="C55" s="32">
        <f t="shared" si="10"/>
        <v>1</v>
      </c>
      <c r="D55" s="32"/>
      <c r="F55" s="32"/>
      <c r="M55" t="s">
        <v>125</v>
      </c>
    </row>
    <row r="56" spans="1:15" x14ac:dyDescent="0.25">
      <c r="M56" t="s">
        <v>127</v>
      </c>
      <c r="N56" s="32">
        <v>0.35</v>
      </c>
    </row>
    <row r="57" spans="1:15" x14ac:dyDescent="0.25">
      <c r="M57" t="s">
        <v>129</v>
      </c>
      <c r="N57" s="32">
        <v>2</v>
      </c>
    </row>
    <row r="58" spans="1:15" x14ac:dyDescent="0.25">
      <c r="A58" s="1" t="s">
        <v>144</v>
      </c>
      <c r="B58" s="1"/>
      <c r="C58" s="1"/>
      <c r="D58" s="1"/>
      <c r="N58" s="32">
        <v>2.9</v>
      </c>
    </row>
    <row r="59" spans="1:15" x14ac:dyDescent="0.25">
      <c r="B59" t="s">
        <v>124</v>
      </c>
      <c r="C59" s="32">
        <v>18</v>
      </c>
    </row>
    <row r="60" spans="1:15" x14ac:dyDescent="0.25">
      <c r="B60" t="s">
        <v>126</v>
      </c>
      <c r="C60" s="32">
        <v>1</v>
      </c>
    </row>
    <row r="61" spans="1:15" x14ac:dyDescent="0.25">
      <c r="B61" t="s">
        <v>128</v>
      </c>
      <c r="C61" s="32">
        <v>18</v>
      </c>
    </row>
    <row r="62" spans="1:15" x14ac:dyDescent="0.25">
      <c r="B62" t="s">
        <v>130</v>
      </c>
      <c r="C62" s="32">
        <v>2</v>
      </c>
      <c r="M62" s="32" t="s">
        <v>138</v>
      </c>
    </row>
    <row r="63" spans="1:15" x14ac:dyDescent="0.25">
      <c r="B63" t="s">
        <v>131</v>
      </c>
      <c r="C63" s="32">
        <v>7</v>
      </c>
      <c r="E63" s="32" t="s">
        <v>135</v>
      </c>
      <c r="L63" s="32" t="s">
        <v>137</v>
      </c>
      <c r="N63" s="32" t="s">
        <v>139</v>
      </c>
      <c r="O63" s="32" t="s">
        <v>140</v>
      </c>
    </row>
    <row r="64" spans="1:15" x14ac:dyDescent="0.25">
      <c r="B64" t="s">
        <v>132</v>
      </c>
      <c r="C64" s="32">
        <v>7</v>
      </c>
      <c r="E64" s="32"/>
      <c r="M64" s="32"/>
    </row>
    <row r="65" spans="2:15" x14ac:dyDescent="0.25">
      <c r="E65" s="32"/>
      <c r="L65" s="32"/>
      <c r="M65" s="32"/>
      <c r="N65" s="32"/>
      <c r="O65" s="32"/>
    </row>
    <row r="66" spans="2:15" x14ac:dyDescent="0.25">
      <c r="B66" s="32" t="s">
        <v>19</v>
      </c>
      <c r="C66" s="32" t="s">
        <v>133</v>
      </c>
      <c r="D66" s="32" t="s">
        <v>134</v>
      </c>
      <c r="E66" s="50" t="s">
        <v>141</v>
      </c>
      <c r="F66" s="32" t="s">
        <v>136</v>
      </c>
      <c r="G66" s="32"/>
      <c r="H66" s="32"/>
      <c r="I66" s="32"/>
      <c r="J66" s="32"/>
      <c r="K66" s="32"/>
      <c r="L66" s="32" t="s">
        <v>141</v>
      </c>
      <c r="M66" s="32" t="s">
        <v>141</v>
      </c>
      <c r="N66" s="32"/>
      <c r="O66" s="32"/>
    </row>
    <row r="67" spans="2:15" x14ac:dyDescent="0.25">
      <c r="B67" s="32">
        <v>1</v>
      </c>
      <c r="C67" s="32">
        <f>+$C$3-$C$4*B67</f>
        <v>17</v>
      </c>
      <c r="D67" s="32">
        <f>+$C$5-$C$6*B67</f>
        <v>16</v>
      </c>
      <c r="E67" s="50" t="s">
        <v>141</v>
      </c>
      <c r="F67" s="32"/>
      <c r="L67" s="32" t="s">
        <v>141</v>
      </c>
      <c r="M67" s="32" t="s">
        <v>141</v>
      </c>
      <c r="N67" s="32"/>
      <c r="O67" s="32"/>
    </row>
    <row r="68" spans="2:15" x14ac:dyDescent="0.25">
      <c r="B68" s="32">
        <v>2</v>
      </c>
      <c r="C68" s="32">
        <f t="shared" ref="C68:C83" si="13">+$C$3-$C$4*B68</f>
        <v>16</v>
      </c>
      <c r="D68" s="32">
        <f t="shared" ref="D68:D74" si="14">+$C$5-$C$6*B68</f>
        <v>14</v>
      </c>
      <c r="E68" s="50" t="s">
        <v>141</v>
      </c>
      <c r="F68" s="32"/>
      <c r="L68" s="32" t="s">
        <v>141</v>
      </c>
      <c r="M68" s="32" t="s">
        <v>141</v>
      </c>
      <c r="N68" s="32"/>
      <c r="O68" s="32"/>
    </row>
    <row r="69" spans="2:15" x14ac:dyDescent="0.25">
      <c r="B69" s="50">
        <v>3</v>
      </c>
      <c r="C69" s="50">
        <f t="shared" si="13"/>
        <v>15</v>
      </c>
      <c r="D69" s="50">
        <f t="shared" si="14"/>
        <v>12</v>
      </c>
      <c r="E69" s="50" t="s">
        <v>141</v>
      </c>
      <c r="F69" s="50"/>
      <c r="L69" s="32" t="s">
        <v>141</v>
      </c>
      <c r="M69" s="50">
        <f>+B73-$C$64</f>
        <v>0</v>
      </c>
      <c r="N69" s="32"/>
      <c r="O69" s="32"/>
    </row>
    <row r="70" spans="2:15" x14ac:dyDescent="0.25">
      <c r="B70" s="50">
        <v>4</v>
      </c>
      <c r="C70" s="50">
        <f t="shared" si="13"/>
        <v>14</v>
      </c>
      <c r="D70" s="50">
        <f t="shared" si="14"/>
        <v>10</v>
      </c>
      <c r="E70" s="50">
        <f>+$N$56*N70</f>
        <v>0.7</v>
      </c>
      <c r="F70" s="50" t="s">
        <v>141</v>
      </c>
      <c r="L70" s="50">
        <f>+B73-$C$63</f>
        <v>0</v>
      </c>
      <c r="M70" s="49">
        <f>+B74-$C$64</f>
        <v>1</v>
      </c>
      <c r="N70" s="50">
        <f t="shared" ref="N70:N80" si="15">+($N$57+$N$58*(B73-$C$63))</f>
        <v>2</v>
      </c>
      <c r="O70" s="50">
        <f>+($N$57+$N$58*(B73-$C$64))</f>
        <v>2</v>
      </c>
    </row>
    <row r="71" spans="2:15" x14ac:dyDescent="0.25">
      <c r="B71" s="50">
        <v>5</v>
      </c>
      <c r="C71" s="50">
        <f t="shared" si="13"/>
        <v>13</v>
      </c>
      <c r="D71" s="50">
        <f t="shared" si="14"/>
        <v>8</v>
      </c>
      <c r="E71" s="50">
        <f t="shared" ref="E71:E80" si="16">+$N$56*N71</f>
        <v>1.7150000000000001</v>
      </c>
      <c r="F71" s="50" t="s">
        <v>141</v>
      </c>
      <c r="L71" s="50">
        <f t="shared" ref="L71:L80" si="17">+B74-$C$63</f>
        <v>1</v>
      </c>
      <c r="M71" s="50" t="s">
        <v>141</v>
      </c>
      <c r="N71" s="50">
        <f t="shared" si="15"/>
        <v>4.9000000000000004</v>
      </c>
      <c r="O71" s="49">
        <f>+($N$57+$N$58*(B74-$C$64))</f>
        <v>4.9000000000000004</v>
      </c>
    </row>
    <row r="72" spans="2:15" x14ac:dyDescent="0.25">
      <c r="B72" s="50">
        <v>6</v>
      </c>
      <c r="C72" s="50">
        <f t="shared" si="13"/>
        <v>12</v>
      </c>
      <c r="D72" s="50">
        <f t="shared" si="14"/>
        <v>6</v>
      </c>
      <c r="E72" s="50">
        <f t="shared" si="16"/>
        <v>2.73</v>
      </c>
      <c r="F72" s="50" t="s">
        <v>141</v>
      </c>
      <c r="L72" s="50">
        <f t="shared" si="17"/>
        <v>2</v>
      </c>
      <c r="M72" s="50" t="s">
        <v>141</v>
      </c>
      <c r="N72" s="50">
        <f t="shared" si="15"/>
        <v>7.8</v>
      </c>
      <c r="O72" s="50" t="s">
        <v>141</v>
      </c>
    </row>
    <row r="73" spans="2:15" x14ac:dyDescent="0.25">
      <c r="B73" s="48">
        <v>7</v>
      </c>
      <c r="C73" s="48">
        <f t="shared" si="13"/>
        <v>11</v>
      </c>
      <c r="D73" s="50">
        <f t="shared" si="14"/>
        <v>4</v>
      </c>
      <c r="E73" s="50">
        <f t="shared" si="16"/>
        <v>3.7449999999999997</v>
      </c>
      <c r="F73" s="50">
        <f>+$N$56*O70</f>
        <v>0.7</v>
      </c>
      <c r="L73" s="50">
        <f t="shared" si="17"/>
        <v>3</v>
      </c>
      <c r="M73" s="32" t="s">
        <v>141</v>
      </c>
      <c r="N73" s="50">
        <f t="shared" si="15"/>
        <v>10.7</v>
      </c>
      <c r="O73" s="50"/>
    </row>
    <row r="74" spans="2:15" x14ac:dyDescent="0.25">
      <c r="B74" s="50">
        <v>8</v>
      </c>
      <c r="C74" s="50">
        <f t="shared" si="13"/>
        <v>10</v>
      </c>
      <c r="D74" s="49">
        <f t="shared" si="14"/>
        <v>2</v>
      </c>
      <c r="E74" s="50">
        <f t="shared" si="16"/>
        <v>4.76</v>
      </c>
      <c r="F74" s="49">
        <f>+$N$56*O71</f>
        <v>1.7150000000000001</v>
      </c>
      <c r="L74" s="50">
        <f t="shared" si="17"/>
        <v>4</v>
      </c>
      <c r="M74" s="32" t="s">
        <v>141</v>
      </c>
      <c r="N74" s="50">
        <f t="shared" si="15"/>
        <v>13.6</v>
      </c>
      <c r="O74" s="32"/>
    </row>
    <row r="75" spans="2:15" x14ac:dyDescent="0.25">
      <c r="B75" s="50">
        <v>9</v>
      </c>
      <c r="C75" s="50">
        <f t="shared" si="13"/>
        <v>9</v>
      </c>
      <c r="D75" s="50" t="s">
        <v>141</v>
      </c>
      <c r="E75" s="50">
        <f t="shared" si="16"/>
        <v>5.7749999999999995</v>
      </c>
      <c r="F75" s="50"/>
      <c r="L75" s="48">
        <f t="shared" si="17"/>
        <v>5</v>
      </c>
      <c r="M75" s="32" t="s">
        <v>141</v>
      </c>
      <c r="N75" s="48">
        <f t="shared" si="15"/>
        <v>16.5</v>
      </c>
      <c r="O75" s="32"/>
    </row>
    <row r="76" spans="2:15" x14ac:dyDescent="0.25">
      <c r="B76" s="50">
        <v>10</v>
      </c>
      <c r="C76" s="50">
        <f t="shared" si="13"/>
        <v>8</v>
      </c>
      <c r="D76" s="50"/>
      <c r="E76" s="50">
        <f t="shared" si="16"/>
        <v>6.7899999999999991</v>
      </c>
      <c r="F76" s="50"/>
      <c r="L76" s="50">
        <f t="shared" si="17"/>
        <v>6</v>
      </c>
      <c r="M76" s="32" t="s">
        <v>141</v>
      </c>
      <c r="N76" s="50">
        <f t="shared" si="15"/>
        <v>19.399999999999999</v>
      </c>
      <c r="O76" s="32"/>
    </row>
    <row r="77" spans="2:15" x14ac:dyDescent="0.25">
      <c r="B77" s="32">
        <v>11</v>
      </c>
      <c r="C77" s="32">
        <f t="shared" si="13"/>
        <v>7</v>
      </c>
      <c r="D77" s="32"/>
      <c r="E77" s="50">
        <f t="shared" si="16"/>
        <v>7.8049999999999997</v>
      </c>
      <c r="F77" s="32"/>
      <c r="L77" s="50">
        <f t="shared" si="17"/>
        <v>7</v>
      </c>
      <c r="M77" s="32" t="s">
        <v>141</v>
      </c>
      <c r="N77" s="50">
        <f t="shared" si="15"/>
        <v>22.3</v>
      </c>
      <c r="O77" s="32"/>
    </row>
    <row r="78" spans="2:15" x14ac:dyDescent="0.25">
      <c r="B78" s="32">
        <v>12</v>
      </c>
      <c r="C78" s="32">
        <f t="shared" si="13"/>
        <v>6</v>
      </c>
      <c r="D78" s="32"/>
      <c r="E78" s="50">
        <f t="shared" si="16"/>
        <v>8.8199999999999985</v>
      </c>
      <c r="F78" s="32"/>
      <c r="L78" s="50">
        <f t="shared" si="17"/>
        <v>8</v>
      </c>
      <c r="M78" s="32" t="s">
        <v>142</v>
      </c>
      <c r="N78" s="50">
        <f t="shared" si="15"/>
        <v>25.2</v>
      </c>
      <c r="O78" s="32"/>
    </row>
    <row r="79" spans="2:15" x14ac:dyDescent="0.25">
      <c r="B79" s="32">
        <v>13</v>
      </c>
      <c r="C79" s="32">
        <f t="shared" si="13"/>
        <v>5</v>
      </c>
      <c r="D79" s="32"/>
      <c r="E79" s="50">
        <f t="shared" si="16"/>
        <v>9.8349999999999991</v>
      </c>
      <c r="F79" s="32"/>
      <c r="L79" s="50">
        <f t="shared" si="17"/>
        <v>9</v>
      </c>
      <c r="M79" s="32" t="s">
        <v>141</v>
      </c>
      <c r="N79" s="50">
        <f t="shared" si="15"/>
        <v>28.099999999999998</v>
      </c>
      <c r="O79" s="32"/>
    </row>
    <row r="80" spans="2:15" x14ac:dyDescent="0.25">
      <c r="B80" s="32">
        <v>14</v>
      </c>
      <c r="C80" s="32">
        <f t="shared" si="13"/>
        <v>4</v>
      </c>
      <c r="D80" s="32"/>
      <c r="E80" s="50">
        <f t="shared" si="16"/>
        <v>10.85</v>
      </c>
      <c r="F80" s="32"/>
      <c r="L80" s="50">
        <f t="shared" si="17"/>
        <v>10</v>
      </c>
      <c r="N80" s="50">
        <f t="shared" si="15"/>
        <v>31</v>
      </c>
      <c r="O80" s="32"/>
    </row>
    <row r="81" spans="1:15" x14ac:dyDescent="0.25">
      <c r="B81" s="32">
        <v>15</v>
      </c>
      <c r="C81" s="32">
        <f t="shared" si="13"/>
        <v>3</v>
      </c>
      <c r="D81" s="32"/>
      <c r="F81" s="32"/>
    </row>
    <row r="82" spans="1:15" x14ac:dyDescent="0.25">
      <c r="B82" s="32">
        <v>16</v>
      </c>
      <c r="C82" s="32">
        <f t="shared" si="13"/>
        <v>2</v>
      </c>
      <c r="D82" s="32"/>
      <c r="F82" s="32"/>
    </row>
    <row r="83" spans="1:15" x14ac:dyDescent="0.25">
      <c r="B83" s="32">
        <v>17</v>
      </c>
      <c r="C83" s="32">
        <f t="shared" si="13"/>
        <v>1</v>
      </c>
      <c r="D83" s="32"/>
      <c r="F83" s="32"/>
      <c r="M83" t="s">
        <v>125</v>
      </c>
    </row>
    <row r="84" spans="1:15" x14ac:dyDescent="0.25">
      <c r="M84" t="s">
        <v>127</v>
      </c>
      <c r="N84" s="32">
        <v>0.7</v>
      </c>
    </row>
    <row r="85" spans="1:15" x14ac:dyDescent="0.25">
      <c r="M85" t="s">
        <v>129</v>
      </c>
      <c r="N85" s="32">
        <v>17.5</v>
      </c>
    </row>
    <row r="86" spans="1:15" x14ac:dyDescent="0.25">
      <c r="A86" s="1" t="s">
        <v>145</v>
      </c>
      <c r="B86" s="1"/>
      <c r="C86" s="1"/>
      <c r="D86" s="1"/>
      <c r="N86" s="32">
        <v>1.43</v>
      </c>
    </row>
    <row r="87" spans="1:15" x14ac:dyDescent="0.25">
      <c r="B87" t="s">
        <v>124</v>
      </c>
      <c r="C87" s="32">
        <v>18</v>
      </c>
    </row>
    <row r="88" spans="1:15" x14ac:dyDescent="0.25">
      <c r="B88" t="s">
        <v>126</v>
      </c>
      <c r="C88" s="32">
        <v>1</v>
      </c>
    </row>
    <row r="89" spans="1:15" x14ac:dyDescent="0.25">
      <c r="B89" t="s">
        <v>128</v>
      </c>
      <c r="C89" s="32">
        <v>18</v>
      </c>
    </row>
    <row r="90" spans="1:15" x14ac:dyDescent="0.25">
      <c r="B90" t="s">
        <v>130</v>
      </c>
      <c r="C90" s="32">
        <v>2</v>
      </c>
      <c r="M90" s="32" t="s">
        <v>138</v>
      </c>
    </row>
    <row r="91" spans="1:15" x14ac:dyDescent="0.25">
      <c r="B91" t="s">
        <v>131</v>
      </c>
      <c r="C91" s="32">
        <v>7</v>
      </c>
      <c r="E91" s="32" t="s">
        <v>135</v>
      </c>
      <c r="L91" s="32" t="s">
        <v>137</v>
      </c>
      <c r="N91" s="32" t="s">
        <v>139</v>
      </c>
      <c r="O91" s="32" t="s">
        <v>140</v>
      </c>
    </row>
    <row r="92" spans="1:15" x14ac:dyDescent="0.25">
      <c r="B92" t="s">
        <v>132</v>
      </c>
      <c r="C92" s="32">
        <v>7</v>
      </c>
      <c r="E92" s="32"/>
      <c r="M92" s="32"/>
    </row>
    <row r="93" spans="1:15" x14ac:dyDescent="0.25">
      <c r="E93" s="32"/>
      <c r="L93" s="32"/>
      <c r="M93" s="32"/>
      <c r="N93" s="32"/>
      <c r="O93" s="32"/>
    </row>
    <row r="94" spans="1:15" x14ac:dyDescent="0.25">
      <c r="B94" s="32" t="s">
        <v>19</v>
      </c>
      <c r="C94" s="32" t="s">
        <v>133</v>
      </c>
      <c r="D94" s="32" t="s">
        <v>134</v>
      </c>
      <c r="E94" s="50" t="s">
        <v>141</v>
      </c>
      <c r="F94" s="32" t="s">
        <v>136</v>
      </c>
      <c r="G94" s="32"/>
      <c r="H94" s="32"/>
      <c r="I94" s="32"/>
      <c r="J94" s="32"/>
      <c r="K94" s="32"/>
      <c r="L94" s="32" t="s">
        <v>141</v>
      </c>
      <c r="M94" s="32" t="s">
        <v>141</v>
      </c>
      <c r="N94" s="32"/>
      <c r="O94" s="32"/>
    </row>
    <row r="95" spans="1:15" x14ac:dyDescent="0.25">
      <c r="B95" s="32">
        <v>1</v>
      </c>
      <c r="C95" s="32">
        <f>+$C$3-$C$4*B95</f>
        <v>17</v>
      </c>
      <c r="D95" s="32">
        <f>+$C$5-$C$6*B95</f>
        <v>16</v>
      </c>
      <c r="E95" s="50" t="s">
        <v>141</v>
      </c>
      <c r="F95" s="32"/>
      <c r="L95" s="32" t="s">
        <v>141</v>
      </c>
      <c r="M95" s="32" t="s">
        <v>141</v>
      </c>
      <c r="N95" s="32"/>
      <c r="O95" s="32"/>
    </row>
    <row r="96" spans="1:15" x14ac:dyDescent="0.25">
      <c r="B96" s="32">
        <v>2</v>
      </c>
      <c r="C96" s="32">
        <f t="shared" ref="C96:C111" si="18">+$C$3-$C$4*B96</f>
        <v>16</v>
      </c>
      <c r="D96" s="32">
        <f t="shared" ref="D96:D102" si="19">+$C$5-$C$6*B96</f>
        <v>14</v>
      </c>
      <c r="E96" s="50" t="s">
        <v>141</v>
      </c>
      <c r="F96" s="32"/>
      <c r="L96" s="32" t="s">
        <v>141</v>
      </c>
      <c r="M96" s="32" t="s">
        <v>141</v>
      </c>
      <c r="N96" s="32"/>
      <c r="O96" s="32"/>
    </row>
    <row r="97" spans="1:15" x14ac:dyDescent="0.25">
      <c r="B97" s="50">
        <v>3</v>
      </c>
      <c r="C97" s="50">
        <f t="shared" si="18"/>
        <v>15</v>
      </c>
      <c r="D97" s="50">
        <f t="shared" si="19"/>
        <v>12</v>
      </c>
      <c r="E97" s="50" t="s">
        <v>141</v>
      </c>
      <c r="F97" s="50"/>
      <c r="L97" s="32" t="s">
        <v>141</v>
      </c>
      <c r="M97" s="49">
        <f>+B101-$C$64</f>
        <v>0</v>
      </c>
      <c r="N97" s="32"/>
      <c r="O97" s="32"/>
    </row>
    <row r="98" spans="1:15" x14ac:dyDescent="0.25">
      <c r="B98" s="50">
        <v>4</v>
      </c>
      <c r="C98" s="50">
        <f t="shared" si="18"/>
        <v>14</v>
      </c>
      <c r="D98" s="50">
        <f t="shared" si="19"/>
        <v>10</v>
      </c>
      <c r="E98" s="49">
        <f>+$N$84*N98</f>
        <v>12.25</v>
      </c>
      <c r="F98" s="50" t="s">
        <v>141</v>
      </c>
      <c r="L98" s="49">
        <f>+B101-$C$63</f>
        <v>0</v>
      </c>
      <c r="M98" s="50">
        <f>+B102-$C$64</f>
        <v>1</v>
      </c>
      <c r="N98" s="49">
        <f t="shared" ref="N98:N108" si="20">+($N$85+$N$86*(B101-$C$63))</f>
        <v>17.5</v>
      </c>
      <c r="O98" s="49">
        <f>+($N$85+$N$86*(B101-$C$64))</f>
        <v>17.5</v>
      </c>
    </row>
    <row r="99" spans="1:15" x14ac:dyDescent="0.25">
      <c r="B99" s="50">
        <v>5</v>
      </c>
      <c r="C99" s="50">
        <f t="shared" si="18"/>
        <v>13</v>
      </c>
      <c r="D99" s="50">
        <f t="shared" si="19"/>
        <v>8</v>
      </c>
      <c r="E99" s="50">
        <f t="shared" ref="E99:E108" si="21">+$N$84*N99</f>
        <v>13.250999999999999</v>
      </c>
      <c r="F99" s="50" t="s">
        <v>141</v>
      </c>
      <c r="L99" s="50">
        <f t="shared" ref="L99:L108" si="22">+B102-$C$63</f>
        <v>1</v>
      </c>
      <c r="M99" s="50" t="s">
        <v>141</v>
      </c>
      <c r="N99" s="50">
        <f t="shared" si="20"/>
        <v>18.93</v>
      </c>
      <c r="O99" s="50">
        <f>+($N$85+$N$86*(B102-$C$64))</f>
        <v>18.93</v>
      </c>
    </row>
    <row r="100" spans="1:15" x14ac:dyDescent="0.25">
      <c r="B100" s="50">
        <v>6</v>
      </c>
      <c r="C100" s="50">
        <f t="shared" si="18"/>
        <v>12</v>
      </c>
      <c r="D100" s="50">
        <f t="shared" si="19"/>
        <v>6</v>
      </c>
      <c r="E100" s="50">
        <f t="shared" si="21"/>
        <v>14.251999999999999</v>
      </c>
      <c r="F100" s="50" t="s">
        <v>141</v>
      </c>
      <c r="L100" s="50">
        <f t="shared" si="22"/>
        <v>2</v>
      </c>
      <c r="M100" s="50" t="s">
        <v>141</v>
      </c>
      <c r="N100" s="50">
        <f t="shared" si="20"/>
        <v>20.36</v>
      </c>
      <c r="O100" s="50" t="s">
        <v>141</v>
      </c>
    </row>
    <row r="101" spans="1:15" x14ac:dyDescent="0.25">
      <c r="A101" s="51"/>
      <c r="B101" s="49">
        <v>7</v>
      </c>
      <c r="C101" s="49">
        <f t="shared" si="18"/>
        <v>11</v>
      </c>
      <c r="D101" s="49">
        <f t="shared" si="19"/>
        <v>4</v>
      </c>
      <c r="E101" s="50">
        <f t="shared" si="21"/>
        <v>15.252999999999998</v>
      </c>
      <c r="F101" s="49">
        <f>+$N$84*O98</f>
        <v>12.25</v>
      </c>
      <c r="G101" s="51"/>
      <c r="H101" s="51"/>
      <c r="I101" s="51"/>
      <c r="J101" s="51"/>
      <c r="K101" s="51"/>
      <c r="L101" s="50">
        <f t="shared" si="22"/>
        <v>3</v>
      </c>
      <c r="M101" s="50" t="s">
        <v>141</v>
      </c>
      <c r="N101" s="50">
        <f t="shared" si="20"/>
        <v>21.79</v>
      </c>
      <c r="O101" s="50"/>
    </row>
    <row r="102" spans="1:15" x14ac:dyDescent="0.25">
      <c r="B102" s="50">
        <v>8</v>
      </c>
      <c r="C102" s="50">
        <f t="shared" si="18"/>
        <v>10</v>
      </c>
      <c r="D102" s="50">
        <f t="shared" si="19"/>
        <v>2</v>
      </c>
      <c r="E102" s="50">
        <f t="shared" si="21"/>
        <v>16.253999999999998</v>
      </c>
      <c r="F102" s="50">
        <f>+$N$84*O99</f>
        <v>13.250999999999999</v>
      </c>
      <c r="G102" s="52"/>
      <c r="H102" s="52"/>
      <c r="I102" s="52"/>
      <c r="J102" s="52"/>
      <c r="K102" s="52"/>
      <c r="L102" s="50">
        <f t="shared" si="22"/>
        <v>4</v>
      </c>
      <c r="M102" s="50" t="s">
        <v>141</v>
      </c>
      <c r="N102" s="50">
        <f t="shared" si="20"/>
        <v>23.22</v>
      </c>
      <c r="O102" s="50"/>
    </row>
    <row r="103" spans="1:15" x14ac:dyDescent="0.25">
      <c r="B103" s="50">
        <v>9</v>
      </c>
      <c r="C103" s="50">
        <f t="shared" si="18"/>
        <v>9</v>
      </c>
      <c r="D103" s="50" t="s">
        <v>141</v>
      </c>
      <c r="E103" s="50">
        <f t="shared" si="21"/>
        <v>17.254999999999999</v>
      </c>
      <c r="F103" s="50"/>
      <c r="G103" s="52"/>
      <c r="H103" s="52"/>
      <c r="I103" s="52"/>
      <c r="J103" s="52"/>
      <c r="K103" s="52"/>
      <c r="L103" s="50">
        <f t="shared" si="22"/>
        <v>5</v>
      </c>
      <c r="M103" s="32" t="s">
        <v>141</v>
      </c>
      <c r="N103" s="50">
        <f t="shared" si="20"/>
        <v>24.65</v>
      </c>
      <c r="O103" s="50"/>
    </row>
    <row r="104" spans="1:15" x14ac:dyDescent="0.25">
      <c r="B104" s="50">
        <v>10</v>
      </c>
      <c r="C104" s="50">
        <f t="shared" si="18"/>
        <v>8</v>
      </c>
      <c r="D104" s="50"/>
      <c r="E104" s="50">
        <f t="shared" si="21"/>
        <v>18.255999999999997</v>
      </c>
      <c r="F104" s="50"/>
      <c r="G104" s="52"/>
      <c r="H104" s="52"/>
      <c r="I104" s="52"/>
      <c r="J104" s="52"/>
      <c r="K104" s="52"/>
      <c r="L104" s="50">
        <f t="shared" si="22"/>
        <v>6</v>
      </c>
      <c r="M104" s="32" t="s">
        <v>141</v>
      </c>
      <c r="N104" s="50">
        <f t="shared" si="20"/>
        <v>26.08</v>
      </c>
      <c r="O104" s="32"/>
    </row>
    <row r="105" spans="1:15" x14ac:dyDescent="0.25">
      <c r="B105" s="50">
        <v>11</v>
      </c>
      <c r="C105" s="50">
        <f t="shared" si="18"/>
        <v>7</v>
      </c>
      <c r="D105" s="50"/>
      <c r="E105" s="50">
        <f t="shared" si="21"/>
        <v>19.256999999999998</v>
      </c>
      <c r="F105" s="50"/>
      <c r="G105" s="52"/>
      <c r="H105" s="52"/>
      <c r="I105" s="52"/>
      <c r="J105" s="52"/>
      <c r="K105" s="52"/>
      <c r="L105" s="50">
        <f t="shared" si="22"/>
        <v>7</v>
      </c>
      <c r="M105" s="32" t="s">
        <v>141</v>
      </c>
      <c r="N105" s="50">
        <f t="shared" si="20"/>
        <v>27.509999999999998</v>
      </c>
      <c r="O105" s="32"/>
    </row>
    <row r="106" spans="1:15" x14ac:dyDescent="0.25">
      <c r="B106" s="50">
        <v>12</v>
      </c>
      <c r="C106" s="50">
        <f t="shared" si="18"/>
        <v>6</v>
      </c>
      <c r="D106" s="50"/>
      <c r="E106" s="50">
        <f t="shared" si="21"/>
        <v>20.257999999999996</v>
      </c>
      <c r="F106" s="50"/>
      <c r="G106" s="52"/>
      <c r="H106" s="52"/>
      <c r="I106" s="52"/>
      <c r="J106" s="52"/>
      <c r="K106" s="52"/>
      <c r="L106" s="50">
        <f t="shared" si="22"/>
        <v>8</v>
      </c>
      <c r="M106" s="32" t="s">
        <v>142</v>
      </c>
      <c r="N106" s="50">
        <f t="shared" si="20"/>
        <v>28.939999999999998</v>
      </c>
      <c r="O106" s="32"/>
    </row>
    <row r="107" spans="1:15" x14ac:dyDescent="0.25">
      <c r="B107" s="32">
        <v>13</v>
      </c>
      <c r="C107" s="32">
        <f t="shared" si="18"/>
        <v>5</v>
      </c>
      <c r="D107" s="32"/>
      <c r="E107" s="50">
        <f t="shared" si="21"/>
        <v>21.258999999999997</v>
      </c>
      <c r="F107" s="32"/>
      <c r="L107" s="50">
        <f t="shared" si="22"/>
        <v>9</v>
      </c>
      <c r="M107" s="32" t="s">
        <v>141</v>
      </c>
      <c r="N107" s="50">
        <f t="shared" si="20"/>
        <v>30.369999999999997</v>
      </c>
      <c r="O107" s="32"/>
    </row>
    <row r="108" spans="1:15" x14ac:dyDescent="0.25">
      <c r="B108" s="32">
        <v>14</v>
      </c>
      <c r="C108" s="32">
        <f t="shared" si="18"/>
        <v>4</v>
      </c>
      <c r="D108" s="32"/>
      <c r="E108" s="50">
        <f t="shared" si="21"/>
        <v>22.259999999999998</v>
      </c>
      <c r="F108" s="32"/>
      <c r="L108" s="50">
        <f t="shared" si="22"/>
        <v>10</v>
      </c>
      <c r="N108" s="50">
        <f t="shared" si="20"/>
        <v>31.799999999999997</v>
      </c>
      <c r="O108" s="32"/>
    </row>
    <row r="109" spans="1:15" x14ac:dyDescent="0.25">
      <c r="B109" s="32">
        <v>15</v>
      </c>
      <c r="C109" s="32">
        <f t="shared" si="18"/>
        <v>3</v>
      </c>
      <c r="D109" s="32"/>
      <c r="F109" s="32"/>
    </row>
    <row r="110" spans="1:15" x14ac:dyDescent="0.25">
      <c r="B110" s="32">
        <v>16</v>
      </c>
      <c r="C110" s="32">
        <f t="shared" si="18"/>
        <v>2</v>
      </c>
      <c r="D110" s="32"/>
      <c r="F110" s="32"/>
    </row>
    <row r="111" spans="1:15" x14ac:dyDescent="0.25">
      <c r="B111" s="32">
        <v>17</v>
      </c>
      <c r="C111" s="32">
        <f t="shared" si="18"/>
        <v>1</v>
      </c>
      <c r="D111" s="32"/>
      <c r="F111" s="3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1"/>
  <sheetViews>
    <sheetView workbookViewId="0">
      <selection activeCell="A25" sqref="A25"/>
    </sheetView>
  </sheetViews>
  <sheetFormatPr baseColWidth="10" defaultColWidth="9.140625" defaultRowHeight="15" x14ac:dyDescent="0.25"/>
  <sheetData>
    <row r="2" spans="1:15" x14ac:dyDescent="0.25">
      <c r="A2" s="1" t="s">
        <v>123</v>
      </c>
      <c r="B2" s="1"/>
      <c r="C2" s="1"/>
      <c r="D2" s="1"/>
    </row>
    <row r="3" spans="1:15" x14ac:dyDescent="0.25">
      <c r="B3" t="s">
        <v>124</v>
      </c>
      <c r="C3" s="32">
        <v>18</v>
      </c>
      <c r="D3" t="s">
        <v>146</v>
      </c>
      <c r="M3" s="13" t="s">
        <v>125</v>
      </c>
      <c r="N3" s="57">
        <v>0.7</v>
      </c>
    </row>
    <row r="4" spans="1:15" x14ac:dyDescent="0.25">
      <c r="B4" t="s">
        <v>126</v>
      </c>
      <c r="C4" s="32">
        <v>1</v>
      </c>
      <c r="D4" t="s">
        <v>147</v>
      </c>
      <c r="M4" s="13" t="s">
        <v>127</v>
      </c>
      <c r="N4" s="57">
        <v>23</v>
      </c>
    </row>
    <row r="5" spans="1:15" x14ac:dyDescent="0.25">
      <c r="B5" t="s">
        <v>128</v>
      </c>
      <c r="C5" s="32">
        <v>18</v>
      </c>
      <c r="M5" s="13" t="s">
        <v>129</v>
      </c>
      <c r="N5" s="57">
        <v>0</v>
      </c>
    </row>
    <row r="6" spans="1:15" x14ac:dyDescent="0.25">
      <c r="B6" t="s">
        <v>130</v>
      </c>
      <c r="C6" s="32">
        <v>2</v>
      </c>
    </row>
    <row r="7" spans="1:15" x14ac:dyDescent="0.25">
      <c r="B7" t="s">
        <v>131</v>
      </c>
      <c r="C7" s="32">
        <v>3</v>
      </c>
      <c r="D7" t="s">
        <v>148</v>
      </c>
    </row>
    <row r="8" spans="1:15" x14ac:dyDescent="0.25">
      <c r="B8" t="s">
        <v>132</v>
      </c>
      <c r="C8" s="32">
        <v>4</v>
      </c>
      <c r="D8" t="s">
        <v>149</v>
      </c>
    </row>
    <row r="10" spans="1:15" x14ac:dyDescent="0.25">
      <c r="B10" t="s">
        <v>19</v>
      </c>
      <c r="C10" t="s">
        <v>133</v>
      </c>
      <c r="D10" t="s">
        <v>134</v>
      </c>
      <c r="E10" t="s">
        <v>135</v>
      </c>
      <c r="F10" t="s">
        <v>136</v>
      </c>
      <c r="L10" t="s">
        <v>137</v>
      </c>
      <c r="M10" t="s">
        <v>138</v>
      </c>
      <c r="N10" t="s">
        <v>139</v>
      </c>
      <c r="O10" t="s">
        <v>140</v>
      </c>
    </row>
    <row r="11" spans="1:15" x14ac:dyDescent="0.25">
      <c r="B11" s="32">
        <v>1</v>
      </c>
      <c r="C11" s="32">
        <f>+$C$3-$C$4*B11</f>
        <v>17</v>
      </c>
      <c r="D11" s="32">
        <f>+$C$5-$C$6*B11</f>
        <v>16</v>
      </c>
      <c r="E11" s="32"/>
      <c r="F11" s="32"/>
    </row>
    <row r="12" spans="1:15" x14ac:dyDescent="0.25">
      <c r="B12" s="32">
        <v>2</v>
      </c>
      <c r="C12" s="32">
        <f t="shared" ref="C12:C27" si="0">+$C$3-$C$4*B12</f>
        <v>16</v>
      </c>
      <c r="D12" s="32">
        <f t="shared" ref="D12:D18" si="1">+$C$5-$C$6*B12</f>
        <v>14</v>
      </c>
      <c r="E12" s="32"/>
      <c r="F12" s="32"/>
      <c r="L12" s="32"/>
      <c r="M12" s="32"/>
      <c r="N12" s="32"/>
      <c r="O12" s="32"/>
    </row>
    <row r="13" spans="1:15" x14ac:dyDescent="0.25">
      <c r="A13" s="53" t="s">
        <v>150</v>
      </c>
      <c r="B13" s="54">
        <v>3</v>
      </c>
      <c r="C13" s="48">
        <f t="shared" si="0"/>
        <v>15</v>
      </c>
      <c r="D13" s="32">
        <f t="shared" si="1"/>
        <v>12</v>
      </c>
      <c r="E13" s="56"/>
      <c r="F13" s="32"/>
      <c r="G13" s="32"/>
      <c r="L13" s="32">
        <f>+B13-$C$7</f>
        <v>0</v>
      </c>
      <c r="M13" s="32"/>
      <c r="N13" s="32">
        <f>+($N$4+$N$5*(B13-$C$7))</f>
        <v>23</v>
      </c>
      <c r="O13" s="32"/>
    </row>
    <row r="14" spans="1:15" x14ac:dyDescent="0.25">
      <c r="A14" s="53" t="s">
        <v>151</v>
      </c>
      <c r="B14" s="55">
        <v>4</v>
      </c>
      <c r="C14" s="58">
        <f t="shared" si="0"/>
        <v>14</v>
      </c>
      <c r="D14" s="49">
        <f t="shared" si="1"/>
        <v>10</v>
      </c>
      <c r="E14" s="58">
        <f>+$N$3*N14</f>
        <v>16.099999999999998</v>
      </c>
      <c r="F14" s="56"/>
      <c r="G14" s="32"/>
      <c r="L14" s="32">
        <f t="shared" ref="L14:L27" si="2">+B14-$C$7</f>
        <v>1</v>
      </c>
      <c r="M14" s="32">
        <f>+B14-$C$8</f>
        <v>0</v>
      </c>
      <c r="N14" s="32">
        <f t="shared" ref="N14:N27" si="3">+($N$4+$N$5*(B14-$C$7))</f>
        <v>23</v>
      </c>
      <c r="O14" s="32">
        <f>+($N$4+$N$5*(B14-$C$8))</f>
        <v>23</v>
      </c>
    </row>
    <row r="15" spans="1:15" x14ac:dyDescent="0.25">
      <c r="B15" s="32">
        <v>5</v>
      </c>
      <c r="C15" s="32">
        <f t="shared" si="0"/>
        <v>13</v>
      </c>
      <c r="D15" s="32">
        <f t="shared" si="1"/>
        <v>8</v>
      </c>
      <c r="E15" s="32">
        <f t="shared" ref="E15:F27" si="4">+$N$3*N15</f>
        <v>16.099999999999998</v>
      </c>
      <c r="F15" s="32">
        <f t="shared" si="4"/>
        <v>16.099999999999998</v>
      </c>
      <c r="G15" s="32"/>
      <c r="L15" s="32">
        <f t="shared" si="2"/>
        <v>2</v>
      </c>
      <c r="M15" s="32">
        <f t="shared" ref="M15:M18" si="5">+B15-$C$8</f>
        <v>1</v>
      </c>
      <c r="N15" s="32">
        <f t="shared" si="3"/>
        <v>23</v>
      </c>
      <c r="O15" s="32">
        <f t="shared" ref="O15:O18" si="6">+($N$4+$N$5*(B15-$C$8))</f>
        <v>23</v>
      </c>
    </row>
    <row r="16" spans="1:15" x14ac:dyDescent="0.25">
      <c r="B16" s="32">
        <v>6</v>
      </c>
      <c r="C16" s="32">
        <f t="shared" si="0"/>
        <v>12</v>
      </c>
      <c r="D16" s="32">
        <f t="shared" si="1"/>
        <v>6</v>
      </c>
      <c r="E16" s="32">
        <f t="shared" si="4"/>
        <v>16.099999999999998</v>
      </c>
      <c r="F16" s="32">
        <f t="shared" si="4"/>
        <v>16.099999999999998</v>
      </c>
      <c r="G16" s="32"/>
      <c r="L16" s="32">
        <f t="shared" si="2"/>
        <v>3</v>
      </c>
      <c r="M16" s="32">
        <f t="shared" si="5"/>
        <v>2</v>
      </c>
      <c r="N16" s="32">
        <f t="shared" si="3"/>
        <v>23</v>
      </c>
      <c r="O16" s="32">
        <f t="shared" si="6"/>
        <v>23</v>
      </c>
    </row>
    <row r="17" spans="1:15" x14ac:dyDescent="0.25">
      <c r="B17" s="58">
        <v>7</v>
      </c>
      <c r="C17" s="58">
        <f t="shared" si="0"/>
        <v>11</v>
      </c>
      <c r="D17" s="58">
        <f t="shared" si="1"/>
        <v>4</v>
      </c>
      <c r="E17" s="58">
        <f t="shared" si="4"/>
        <v>16.099999999999998</v>
      </c>
      <c r="F17" s="58">
        <f t="shared" si="4"/>
        <v>16.099999999999998</v>
      </c>
      <c r="G17" s="32"/>
      <c r="L17" s="32">
        <f t="shared" si="2"/>
        <v>4</v>
      </c>
      <c r="M17" s="49">
        <f t="shared" si="5"/>
        <v>3</v>
      </c>
      <c r="N17" s="32">
        <f t="shared" si="3"/>
        <v>23</v>
      </c>
      <c r="O17" s="49">
        <f t="shared" si="6"/>
        <v>23</v>
      </c>
    </row>
    <row r="18" spans="1:15" x14ac:dyDescent="0.25">
      <c r="B18" s="32">
        <v>8</v>
      </c>
      <c r="C18" s="32">
        <f t="shared" si="0"/>
        <v>10</v>
      </c>
      <c r="D18" s="32">
        <f t="shared" si="1"/>
        <v>2</v>
      </c>
      <c r="E18" s="32">
        <f t="shared" si="4"/>
        <v>16.099999999999998</v>
      </c>
      <c r="F18" s="32">
        <f t="shared" si="4"/>
        <v>16.099999999999998</v>
      </c>
      <c r="G18" s="32"/>
      <c r="L18" s="32">
        <f t="shared" si="2"/>
        <v>5</v>
      </c>
      <c r="M18" s="32">
        <f t="shared" si="5"/>
        <v>4</v>
      </c>
      <c r="N18" s="32">
        <f t="shared" si="3"/>
        <v>23</v>
      </c>
      <c r="O18" s="32">
        <f t="shared" si="6"/>
        <v>23</v>
      </c>
    </row>
    <row r="19" spans="1:15" x14ac:dyDescent="0.25">
      <c r="B19" s="32">
        <v>9</v>
      </c>
      <c r="C19" s="32">
        <f t="shared" si="0"/>
        <v>9</v>
      </c>
      <c r="D19" s="32" t="s">
        <v>141</v>
      </c>
      <c r="E19" s="32">
        <f t="shared" si="4"/>
        <v>16.099999999999998</v>
      </c>
      <c r="F19" s="32"/>
      <c r="G19" s="32"/>
      <c r="L19" s="32">
        <f t="shared" si="2"/>
        <v>6</v>
      </c>
      <c r="M19" s="32" t="s">
        <v>141</v>
      </c>
      <c r="N19" s="32">
        <f t="shared" si="3"/>
        <v>23</v>
      </c>
      <c r="O19" s="32" t="s">
        <v>141</v>
      </c>
    </row>
    <row r="20" spans="1:15" x14ac:dyDescent="0.25">
      <c r="B20" s="58">
        <v>10</v>
      </c>
      <c r="C20" s="58">
        <f t="shared" si="0"/>
        <v>8</v>
      </c>
      <c r="D20" s="58"/>
      <c r="E20" s="58">
        <f t="shared" si="4"/>
        <v>16.099999999999998</v>
      </c>
      <c r="F20" s="32"/>
      <c r="G20" s="32"/>
      <c r="L20" s="58">
        <f t="shared" si="2"/>
        <v>7</v>
      </c>
      <c r="M20" s="58" t="s">
        <v>141</v>
      </c>
      <c r="N20" s="58">
        <f t="shared" si="3"/>
        <v>23</v>
      </c>
      <c r="O20" s="32"/>
    </row>
    <row r="21" spans="1:15" x14ac:dyDescent="0.25">
      <c r="B21" s="32">
        <v>11</v>
      </c>
      <c r="C21" s="32">
        <f t="shared" si="0"/>
        <v>7</v>
      </c>
      <c r="D21" s="32"/>
      <c r="E21" s="32">
        <f t="shared" si="4"/>
        <v>16.099999999999998</v>
      </c>
      <c r="F21" s="32"/>
      <c r="G21" s="32"/>
      <c r="L21" s="32">
        <f t="shared" si="2"/>
        <v>8</v>
      </c>
      <c r="M21" s="32" t="s">
        <v>141</v>
      </c>
      <c r="N21" s="32">
        <f t="shared" si="3"/>
        <v>23</v>
      </c>
      <c r="O21" s="32"/>
    </row>
    <row r="22" spans="1:15" x14ac:dyDescent="0.25">
      <c r="B22" s="32">
        <v>12</v>
      </c>
      <c r="C22" s="32">
        <f t="shared" si="0"/>
        <v>6</v>
      </c>
      <c r="D22" s="32"/>
      <c r="E22" s="32">
        <f t="shared" si="4"/>
        <v>16.099999999999998</v>
      </c>
      <c r="F22" s="32"/>
      <c r="G22" s="32"/>
      <c r="L22" s="32">
        <f t="shared" si="2"/>
        <v>9</v>
      </c>
      <c r="M22" s="32" t="s">
        <v>141</v>
      </c>
      <c r="N22" s="32">
        <f t="shared" si="3"/>
        <v>23</v>
      </c>
      <c r="O22" s="32"/>
    </row>
    <row r="23" spans="1:15" x14ac:dyDescent="0.25">
      <c r="B23" s="32">
        <v>13</v>
      </c>
      <c r="C23" s="32">
        <f t="shared" si="0"/>
        <v>5</v>
      </c>
      <c r="D23" s="32"/>
      <c r="E23" s="32">
        <f t="shared" si="4"/>
        <v>16.099999999999998</v>
      </c>
      <c r="F23" s="32"/>
      <c r="G23" s="32"/>
      <c r="L23" s="32">
        <f t="shared" si="2"/>
        <v>10</v>
      </c>
      <c r="M23" s="32" t="s">
        <v>141</v>
      </c>
      <c r="N23" s="32">
        <f t="shared" si="3"/>
        <v>23</v>
      </c>
      <c r="O23" s="32"/>
    </row>
    <row r="24" spans="1:15" x14ac:dyDescent="0.25">
      <c r="B24" s="32">
        <v>14</v>
      </c>
      <c r="C24" s="32">
        <f t="shared" si="0"/>
        <v>4</v>
      </c>
      <c r="D24" s="32"/>
      <c r="E24" s="32">
        <f t="shared" si="4"/>
        <v>16.099999999999998</v>
      </c>
      <c r="F24" s="32"/>
      <c r="G24" s="32"/>
      <c r="L24" s="32">
        <f t="shared" si="2"/>
        <v>11</v>
      </c>
      <c r="M24" s="32" t="s">
        <v>141</v>
      </c>
      <c r="N24" s="32">
        <f t="shared" si="3"/>
        <v>23</v>
      </c>
      <c r="O24" s="32"/>
    </row>
    <row r="25" spans="1:15" x14ac:dyDescent="0.25">
      <c r="B25" s="32">
        <v>15</v>
      </c>
      <c r="C25" s="32">
        <f t="shared" si="0"/>
        <v>3</v>
      </c>
      <c r="D25" s="32"/>
      <c r="E25" s="32">
        <f t="shared" si="4"/>
        <v>16.099999999999998</v>
      </c>
      <c r="F25" s="32"/>
      <c r="G25" s="32"/>
      <c r="L25" s="32">
        <f t="shared" si="2"/>
        <v>12</v>
      </c>
      <c r="M25" s="32" t="s">
        <v>141</v>
      </c>
      <c r="N25" s="32">
        <f t="shared" si="3"/>
        <v>23</v>
      </c>
      <c r="O25" s="32"/>
    </row>
    <row r="26" spans="1:15" x14ac:dyDescent="0.25">
      <c r="B26" s="32">
        <v>16</v>
      </c>
      <c r="C26" s="32">
        <f t="shared" si="0"/>
        <v>2</v>
      </c>
      <c r="D26" s="32"/>
      <c r="E26" s="32">
        <f t="shared" si="4"/>
        <v>16.099999999999998</v>
      </c>
      <c r="F26" s="32"/>
      <c r="G26" s="32"/>
      <c r="L26" s="32">
        <f t="shared" si="2"/>
        <v>13</v>
      </c>
      <c r="M26" s="32" t="s">
        <v>142</v>
      </c>
      <c r="N26" s="32">
        <f t="shared" si="3"/>
        <v>23</v>
      </c>
      <c r="O26" s="32"/>
    </row>
    <row r="27" spans="1:15" x14ac:dyDescent="0.25">
      <c r="B27" s="32">
        <v>17</v>
      </c>
      <c r="C27" s="32">
        <f t="shared" si="0"/>
        <v>1</v>
      </c>
      <c r="D27" s="32"/>
      <c r="E27" s="32">
        <f t="shared" si="4"/>
        <v>16.099999999999998</v>
      </c>
      <c r="F27" s="32"/>
      <c r="L27" s="32">
        <f t="shared" si="2"/>
        <v>14</v>
      </c>
      <c r="M27" s="32" t="s">
        <v>141</v>
      </c>
      <c r="N27" s="32">
        <f t="shared" si="3"/>
        <v>23</v>
      </c>
      <c r="O27" s="32"/>
    </row>
    <row r="28" spans="1:15" x14ac:dyDescent="0.25">
      <c r="B28" t="s">
        <v>141</v>
      </c>
      <c r="C28" t="s">
        <v>141</v>
      </c>
    </row>
    <row r="30" spans="1:15" x14ac:dyDescent="0.25">
      <c r="A30" s="1" t="s">
        <v>143</v>
      </c>
      <c r="B30" s="1"/>
      <c r="C30" s="1"/>
      <c r="D30" s="1"/>
    </row>
    <row r="31" spans="1:15" x14ac:dyDescent="0.25">
      <c r="B31" t="s">
        <v>124</v>
      </c>
      <c r="C31" s="32">
        <v>18</v>
      </c>
      <c r="M31" t="s">
        <v>125</v>
      </c>
      <c r="N31" s="32">
        <v>0.7</v>
      </c>
    </row>
    <row r="32" spans="1:15" x14ac:dyDescent="0.25">
      <c r="B32" t="s">
        <v>126</v>
      </c>
      <c r="C32" s="32">
        <v>1</v>
      </c>
      <c r="M32" t="s">
        <v>127</v>
      </c>
      <c r="N32" s="32">
        <v>17.5</v>
      </c>
    </row>
    <row r="33" spans="2:15" x14ac:dyDescent="0.25">
      <c r="B33" t="s">
        <v>128</v>
      </c>
      <c r="C33" s="32">
        <v>18</v>
      </c>
      <c r="M33" t="s">
        <v>129</v>
      </c>
      <c r="N33" s="32">
        <v>1.43</v>
      </c>
    </row>
    <row r="34" spans="2:15" x14ac:dyDescent="0.25">
      <c r="B34" t="s">
        <v>130</v>
      </c>
      <c r="C34" s="32">
        <v>2</v>
      </c>
    </row>
    <row r="35" spans="2:15" x14ac:dyDescent="0.25">
      <c r="B35" t="s">
        <v>131</v>
      </c>
      <c r="C35" s="32">
        <v>3</v>
      </c>
    </row>
    <row r="36" spans="2:15" x14ac:dyDescent="0.25">
      <c r="B36" t="s">
        <v>132</v>
      </c>
      <c r="C36" s="32">
        <v>4</v>
      </c>
    </row>
    <row r="38" spans="2:15" x14ac:dyDescent="0.25">
      <c r="B38" t="s">
        <v>19</v>
      </c>
      <c r="C38" t="s">
        <v>133</v>
      </c>
      <c r="D38" t="s">
        <v>134</v>
      </c>
      <c r="E38" t="s">
        <v>135</v>
      </c>
      <c r="F38" t="s">
        <v>136</v>
      </c>
      <c r="L38" t="s">
        <v>137</v>
      </c>
      <c r="M38" t="s">
        <v>138</v>
      </c>
      <c r="N38" t="s">
        <v>139</v>
      </c>
      <c r="O38" t="s">
        <v>140</v>
      </c>
    </row>
    <row r="39" spans="2:15" x14ac:dyDescent="0.25">
      <c r="B39" s="32">
        <v>1</v>
      </c>
      <c r="C39" s="32">
        <f>+$C$3-$C$4*B39</f>
        <v>17</v>
      </c>
      <c r="D39" s="32">
        <f>+$C$5-$C$6*B39</f>
        <v>16</v>
      </c>
      <c r="E39" s="32"/>
      <c r="F39" s="32"/>
    </row>
    <row r="40" spans="2:15" x14ac:dyDescent="0.25">
      <c r="B40" s="32">
        <v>2</v>
      </c>
      <c r="C40" s="32">
        <f t="shared" ref="C40:C55" si="7">+$C$3-$C$4*B40</f>
        <v>16</v>
      </c>
      <c r="D40" s="32">
        <f t="shared" ref="D40:D46" si="8">+$C$5-$C$6*B40</f>
        <v>14</v>
      </c>
      <c r="E40" s="32"/>
      <c r="F40" s="32"/>
      <c r="L40" s="32"/>
      <c r="M40" s="32"/>
      <c r="N40" s="32"/>
      <c r="O40" s="32"/>
    </row>
    <row r="41" spans="2:15" x14ac:dyDescent="0.25">
      <c r="B41" s="48">
        <v>3</v>
      </c>
      <c r="C41" s="48">
        <f t="shared" si="7"/>
        <v>15</v>
      </c>
      <c r="D41" s="32">
        <f t="shared" si="8"/>
        <v>12</v>
      </c>
      <c r="E41" s="32">
        <f>+$N$31*N41</f>
        <v>12.25</v>
      </c>
      <c r="F41" s="32"/>
      <c r="L41" s="50">
        <f>+B41-$C$7</f>
        <v>0</v>
      </c>
      <c r="M41" s="32"/>
      <c r="N41" s="50">
        <f>+($N$32+$N$33*(B41-$C$7))</f>
        <v>17.5</v>
      </c>
      <c r="O41" s="32"/>
    </row>
    <row r="42" spans="2:15" x14ac:dyDescent="0.25">
      <c r="B42" s="49">
        <v>4</v>
      </c>
      <c r="C42" s="48">
        <f t="shared" si="7"/>
        <v>14</v>
      </c>
      <c r="D42" s="49">
        <f t="shared" si="8"/>
        <v>10</v>
      </c>
      <c r="E42" s="48">
        <f t="shared" ref="E42:F55" si="9">+$N$31*N42</f>
        <v>13.250999999999999</v>
      </c>
      <c r="F42" s="32">
        <f>+$N$31*O42</f>
        <v>12.25</v>
      </c>
      <c r="L42" s="48">
        <f t="shared" ref="L42:L55" si="10">+B42-$C$7</f>
        <v>1</v>
      </c>
      <c r="M42" s="49">
        <f>+B42-$C$8</f>
        <v>0</v>
      </c>
      <c r="N42" s="48">
        <f t="shared" ref="N42:N55" si="11">+($N$32+$N$33*(B42-$C$7))</f>
        <v>18.93</v>
      </c>
      <c r="O42" s="49">
        <f>+($N$32+$N$33*(B42-$C$8))</f>
        <v>17.5</v>
      </c>
    </row>
    <row r="43" spans="2:15" x14ac:dyDescent="0.25">
      <c r="B43" s="32">
        <v>5</v>
      </c>
      <c r="C43" s="32">
        <f t="shared" si="7"/>
        <v>13</v>
      </c>
      <c r="D43" s="32">
        <f t="shared" si="8"/>
        <v>8</v>
      </c>
      <c r="E43" s="32">
        <f t="shared" si="9"/>
        <v>14.251999999999999</v>
      </c>
      <c r="F43" s="32">
        <f t="shared" si="9"/>
        <v>13.250999999999999</v>
      </c>
      <c r="L43" s="32">
        <f t="shared" si="10"/>
        <v>2</v>
      </c>
      <c r="M43" s="32">
        <f t="shared" ref="M43:M46" si="12">+B43-$C$8</f>
        <v>1</v>
      </c>
      <c r="N43" s="32">
        <f t="shared" si="11"/>
        <v>20.36</v>
      </c>
      <c r="O43" s="32">
        <f t="shared" ref="O43:O46" si="13">+($N$32+$N$33*(B43-$C$8))</f>
        <v>18.93</v>
      </c>
    </row>
    <row r="44" spans="2:15" x14ac:dyDescent="0.25">
      <c r="B44" s="32">
        <v>6</v>
      </c>
      <c r="C44" s="32">
        <f t="shared" si="7"/>
        <v>12</v>
      </c>
      <c r="D44" s="32">
        <f t="shared" si="8"/>
        <v>6</v>
      </c>
      <c r="E44" s="32">
        <f t="shared" si="9"/>
        <v>15.252999999999998</v>
      </c>
      <c r="F44" s="32">
        <f t="shared" si="9"/>
        <v>14.251999999999999</v>
      </c>
      <c r="L44" s="32">
        <f t="shared" si="10"/>
        <v>3</v>
      </c>
      <c r="M44" s="32">
        <f t="shared" si="12"/>
        <v>2</v>
      </c>
      <c r="N44" s="32">
        <f t="shared" si="11"/>
        <v>21.79</v>
      </c>
      <c r="O44" s="32">
        <f t="shared" si="13"/>
        <v>20.36</v>
      </c>
    </row>
    <row r="45" spans="2:15" x14ac:dyDescent="0.25">
      <c r="B45" s="50">
        <v>7</v>
      </c>
      <c r="C45" s="32">
        <f t="shared" si="7"/>
        <v>11</v>
      </c>
      <c r="D45" s="50">
        <f t="shared" si="8"/>
        <v>4</v>
      </c>
      <c r="E45" s="32">
        <f t="shared" si="9"/>
        <v>16.253999999999998</v>
      </c>
      <c r="F45" s="32">
        <f t="shared" si="9"/>
        <v>15.252999999999998</v>
      </c>
      <c r="L45" s="32">
        <f t="shared" si="10"/>
        <v>4</v>
      </c>
      <c r="M45" s="50">
        <f t="shared" si="12"/>
        <v>3</v>
      </c>
      <c r="N45" s="32">
        <f t="shared" si="11"/>
        <v>23.22</v>
      </c>
      <c r="O45" s="32">
        <f t="shared" si="13"/>
        <v>21.79</v>
      </c>
    </row>
    <row r="46" spans="2:15" x14ac:dyDescent="0.25">
      <c r="B46" s="32">
        <v>8</v>
      </c>
      <c r="C46" s="32">
        <f t="shared" si="7"/>
        <v>10</v>
      </c>
      <c r="D46" s="32">
        <f t="shared" si="8"/>
        <v>2</v>
      </c>
      <c r="E46" s="32">
        <f t="shared" si="9"/>
        <v>17.254999999999999</v>
      </c>
      <c r="F46" s="32">
        <f t="shared" si="9"/>
        <v>16.253999999999998</v>
      </c>
      <c r="L46" s="32">
        <f t="shared" si="10"/>
        <v>5</v>
      </c>
      <c r="M46" s="32">
        <f t="shared" si="12"/>
        <v>4</v>
      </c>
      <c r="N46" s="32">
        <f t="shared" si="11"/>
        <v>24.65</v>
      </c>
      <c r="O46" s="32">
        <f t="shared" si="13"/>
        <v>23.22</v>
      </c>
    </row>
    <row r="47" spans="2:15" x14ac:dyDescent="0.25">
      <c r="B47" s="32">
        <v>9</v>
      </c>
      <c r="C47" s="32">
        <f t="shared" si="7"/>
        <v>9</v>
      </c>
      <c r="D47" s="32" t="s">
        <v>141</v>
      </c>
      <c r="E47" s="32">
        <f t="shared" si="9"/>
        <v>18.255999999999997</v>
      </c>
      <c r="F47" s="32"/>
      <c r="L47" s="32">
        <f t="shared" si="10"/>
        <v>6</v>
      </c>
      <c r="M47" s="32" t="s">
        <v>141</v>
      </c>
      <c r="N47" s="32">
        <f t="shared" si="11"/>
        <v>26.08</v>
      </c>
      <c r="O47" s="32" t="s">
        <v>141</v>
      </c>
    </row>
    <row r="48" spans="2:15" x14ac:dyDescent="0.25">
      <c r="B48" s="50">
        <v>10</v>
      </c>
      <c r="C48" s="50">
        <f t="shared" si="7"/>
        <v>8</v>
      </c>
      <c r="D48" s="50"/>
      <c r="E48" s="32">
        <f t="shared" si="9"/>
        <v>19.256999999999998</v>
      </c>
      <c r="F48" s="32"/>
      <c r="L48" s="50">
        <f t="shared" si="10"/>
        <v>7</v>
      </c>
      <c r="M48" s="50" t="s">
        <v>141</v>
      </c>
      <c r="N48" s="32">
        <f t="shared" si="11"/>
        <v>27.509999999999998</v>
      </c>
      <c r="O48" s="32"/>
    </row>
    <row r="49" spans="1:15" x14ac:dyDescent="0.25">
      <c r="B49" s="32">
        <v>11</v>
      </c>
      <c r="C49" s="32">
        <f t="shared" si="7"/>
        <v>7</v>
      </c>
      <c r="D49" s="32"/>
      <c r="E49" s="32">
        <f t="shared" si="9"/>
        <v>20.257999999999996</v>
      </c>
      <c r="F49" s="32"/>
      <c r="L49" s="32">
        <f t="shared" si="10"/>
        <v>8</v>
      </c>
      <c r="M49" s="32" t="s">
        <v>141</v>
      </c>
      <c r="N49" s="32">
        <f t="shared" si="11"/>
        <v>28.939999999999998</v>
      </c>
      <c r="O49" s="32"/>
    </row>
    <row r="50" spans="1:15" x14ac:dyDescent="0.25">
      <c r="B50" s="32">
        <v>12</v>
      </c>
      <c r="C50" s="32">
        <f t="shared" si="7"/>
        <v>6</v>
      </c>
      <c r="D50" s="32"/>
      <c r="E50" s="32">
        <f t="shared" si="9"/>
        <v>21.258999999999997</v>
      </c>
      <c r="F50" s="32"/>
      <c r="L50" s="32">
        <f t="shared" si="10"/>
        <v>9</v>
      </c>
      <c r="M50" s="32" t="s">
        <v>141</v>
      </c>
      <c r="N50" s="32">
        <f t="shared" si="11"/>
        <v>30.369999999999997</v>
      </c>
      <c r="O50" s="32"/>
    </row>
    <row r="51" spans="1:15" x14ac:dyDescent="0.25">
      <c r="B51" s="32">
        <v>13</v>
      </c>
      <c r="C51" s="32">
        <f t="shared" si="7"/>
        <v>5</v>
      </c>
      <c r="D51" s="32"/>
      <c r="E51" s="32">
        <f t="shared" si="9"/>
        <v>22.259999999999998</v>
      </c>
      <c r="F51" s="32"/>
      <c r="L51" s="32">
        <f t="shared" si="10"/>
        <v>10</v>
      </c>
      <c r="M51" s="32" t="s">
        <v>141</v>
      </c>
      <c r="N51" s="32">
        <f t="shared" si="11"/>
        <v>31.799999999999997</v>
      </c>
      <c r="O51" s="32"/>
    </row>
    <row r="52" spans="1:15" x14ac:dyDescent="0.25">
      <c r="B52" s="32">
        <v>14</v>
      </c>
      <c r="C52" s="32">
        <f t="shared" si="7"/>
        <v>4</v>
      </c>
      <c r="D52" s="32"/>
      <c r="E52" s="32">
        <f t="shared" si="9"/>
        <v>23.260999999999996</v>
      </c>
      <c r="F52" s="32"/>
      <c r="L52" s="32">
        <f t="shared" si="10"/>
        <v>11</v>
      </c>
      <c r="M52" s="32" t="s">
        <v>141</v>
      </c>
      <c r="N52" s="32">
        <f t="shared" si="11"/>
        <v>33.229999999999997</v>
      </c>
      <c r="O52" s="32"/>
    </row>
    <row r="53" spans="1:15" x14ac:dyDescent="0.25">
      <c r="B53" s="32">
        <v>15</v>
      </c>
      <c r="C53" s="32">
        <f t="shared" si="7"/>
        <v>3</v>
      </c>
      <c r="D53" s="32"/>
      <c r="E53" s="32">
        <f t="shared" si="9"/>
        <v>24.261999999999997</v>
      </c>
      <c r="F53" s="32"/>
      <c r="L53" s="32">
        <f t="shared" si="10"/>
        <v>12</v>
      </c>
      <c r="M53" s="32" t="s">
        <v>141</v>
      </c>
      <c r="N53" s="32">
        <f t="shared" si="11"/>
        <v>34.659999999999997</v>
      </c>
      <c r="O53" s="32"/>
    </row>
    <row r="54" spans="1:15" x14ac:dyDescent="0.25">
      <c r="B54" s="32">
        <v>16</v>
      </c>
      <c r="C54" s="32">
        <f t="shared" si="7"/>
        <v>2</v>
      </c>
      <c r="D54" s="32"/>
      <c r="E54" s="32">
        <f t="shared" si="9"/>
        <v>25.263000000000002</v>
      </c>
      <c r="F54" s="32"/>
      <c r="L54" s="32">
        <f t="shared" si="10"/>
        <v>13</v>
      </c>
      <c r="M54" s="32" t="s">
        <v>142</v>
      </c>
      <c r="N54" s="32">
        <f t="shared" si="11"/>
        <v>36.090000000000003</v>
      </c>
      <c r="O54" s="32"/>
    </row>
    <row r="55" spans="1:15" x14ac:dyDescent="0.25">
      <c r="B55" s="32">
        <v>17</v>
      </c>
      <c r="C55" s="32">
        <f t="shared" si="7"/>
        <v>1</v>
      </c>
      <c r="D55" s="32"/>
      <c r="E55" s="32">
        <f t="shared" si="9"/>
        <v>26.263999999999996</v>
      </c>
      <c r="F55" s="32"/>
      <c r="L55" s="32">
        <f t="shared" si="10"/>
        <v>14</v>
      </c>
      <c r="M55" s="32" t="s">
        <v>141</v>
      </c>
      <c r="N55" s="32">
        <f t="shared" si="11"/>
        <v>37.519999999999996</v>
      </c>
      <c r="O55" s="32"/>
    </row>
    <row r="58" spans="1:15" x14ac:dyDescent="0.25">
      <c r="A58" s="1" t="s">
        <v>144</v>
      </c>
      <c r="B58" s="1"/>
      <c r="C58" s="1"/>
      <c r="D58" s="1"/>
    </row>
    <row r="59" spans="1:15" x14ac:dyDescent="0.25">
      <c r="B59" t="s">
        <v>124</v>
      </c>
      <c r="C59" s="32">
        <v>18</v>
      </c>
      <c r="M59" t="s">
        <v>125</v>
      </c>
      <c r="N59" s="32">
        <v>0.35</v>
      </c>
    </row>
    <row r="60" spans="1:15" x14ac:dyDescent="0.25">
      <c r="B60" t="s">
        <v>126</v>
      </c>
      <c r="C60" s="32">
        <v>1</v>
      </c>
      <c r="M60" t="s">
        <v>127</v>
      </c>
      <c r="N60" s="32">
        <v>2</v>
      </c>
    </row>
    <row r="61" spans="1:15" x14ac:dyDescent="0.25">
      <c r="B61" t="s">
        <v>128</v>
      </c>
      <c r="C61" s="32">
        <v>18</v>
      </c>
      <c r="M61" t="s">
        <v>129</v>
      </c>
      <c r="N61" s="32">
        <v>2.9</v>
      </c>
    </row>
    <row r="62" spans="1:15" x14ac:dyDescent="0.25">
      <c r="B62" t="s">
        <v>130</v>
      </c>
      <c r="C62" s="32">
        <v>2</v>
      </c>
    </row>
    <row r="63" spans="1:15" x14ac:dyDescent="0.25">
      <c r="B63" t="s">
        <v>131</v>
      </c>
      <c r="C63" s="32">
        <v>7</v>
      </c>
    </row>
    <row r="64" spans="1:15" x14ac:dyDescent="0.25">
      <c r="B64" t="s">
        <v>132</v>
      </c>
      <c r="C64" s="32">
        <v>7</v>
      </c>
    </row>
    <row r="66" spans="2:15" x14ac:dyDescent="0.25">
      <c r="B66" s="32" t="s">
        <v>19</v>
      </c>
      <c r="C66" s="32" t="s">
        <v>133</v>
      </c>
      <c r="D66" s="32" t="s">
        <v>134</v>
      </c>
      <c r="E66" s="32" t="s">
        <v>135</v>
      </c>
      <c r="F66" s="32" t="s">
        <v>136</v>
      </c>
      <c r="G66" s="32"/>
      <c r="H66" s="32"/>
      <c r="I66" s="32"/>
      <c r="J66" s="32"/>
      <c r="K66" s="32"/>
      <c r="L66" s="32" t="s">
        <v>137</v>
      </c>
      <c r="M66" s="32" t="s">
        <v>138</v>
      </c>
      <c r="N66" s="32" t="s">
        <v>139</v>
      </c>
      <c r="O66" s="32" t="s">
        <v>140</v>
      </c>
    </row>
    <row r="67" spans="2:15" x14ac:dyDescent="0.25">
      <c r="B67" s="32">
        <v>1</v>
      </c>
      <c r="C67" s="32">
        <f>+$C$3-$C$4*B67</f>
        <v>17</v>
      </c>
      <c r="D67" s="32">
        <f>+$C$5-$C$6*B67</f>
        <v>16</v>
      </c>
      <c r="E67" s="32"/>
      <c r="F67" s="32"/>
    </row>
    <row r="68" spans="2:15" x14ac:dyDescent="0.25">
      <c r="B68" s="32">
        <v>2</v>
      </c>
      <c r="C68" s="32">
        <f t="shared" ref="C68:C83" si="14">+$C$3-$C$4*B68</f>
        <v>16</v>
      </c>
      <c r="D68" s="32">
        <f t="shared" ref="D68:D74" si="15">+$C$5-$C$6*B68</f>
        <v>14</v>
      </c>
      <c r="E68" s="32"/>
      <c r="F68" s="32"/>
      <c r="L68" s="32"/>
      <c r="M68" s="32"/>
      <c r="N68" s="32"/>
      <c r="O68" s="32"/>
    </row>
    <row r="69" spans="2:15" x14ac:dyDescent="0.25">
      <c r="B69" s="50">
        <v>3</v>
      </c>
      <c r="C69" s="50">
        <f t="shared" si="14"/>
        <v>15</v>
      </c>
      <c r="D69" s="50">
        <f t="shared" si="15"/>
        <v>12</v>
      </c>
      <c r="E69" s="50" t="s">
        <v>141</v>
      </c>
      <c r="F69" s="50"/>
      <c r="L69" s="32" t="s">
        <v>141</v>
      </c>
      <c r="M69" s="32"/>
      <c r="N69" s="32"/>
      <c r="O69" s="32"/>
    </row>
    <row r="70" spans="2:15" x14ac:dyDescent="0.25">
      <c r="B70" s="50">
        <v>4</v>
      </c>
      <c r="C70" s="50">
        <f t="shared" si="14"/>
        <v>14</v>
      </c>
      <c r="D70" s="50">
        <f t="shared" si="15"/>
        <v>10</v>
      </c>
      <c r="E70" s="50" t="s">
        <v>141</v>
      </c>
      <c r="F70" s="50" t="s">
        <v>141</v>
      </c>
      <c r="L70" s="32" t="s">
        <v>141</v>
      </c>
      <c r="M70" s="32" t="s">
        <v>141</v>
      </c>
      <c r="N70" s="32"/>
      <c r="O70" s="32"/>
    </row>
    <row r="71" spans="2:15" x14ac:dyDescent="0.25">
      <c r="B71" s="50">
        <v>5</v>
      </c>
      <c r="C71" s="50">
        <f t="shared" si="14"/>
        <v>13</v>
      </c>
      <c r="D71" s="50">
        <f t="shared" si="15"/>
        <v>8</v>
      </c>
      <c r="E71" s="50" t="s">
        <v>141</v>
      </c>
      <c r="F71" s="50" t="s">
        <v>141</v>
      </c>
      <c r="L71" s="32" t="s">
        <v>141</v>
      </c>
      <c r="M71" s="32" t="s">
        <v>141</v>
      </c>
      <c r="N71" s="32"/>
      <c r="O71" s="32"/>
    </row>
    <row r="72" spans="2:15" x14ac:dyDescent="0.25">
      <c r="B72" s="50">
        <v>6</v>
      </c>
      <c r="C72" s="50">
        <f t="shared" si="14"/>
        <v>12</v>
      </c>
      <c r="D72" s="50">
        <f t="shared" si="15"/>
        <v>6</v>
      </c>
      <c r="E72" s="50" t="s">
        <v>141</v>
      </c>
      <c r="F72" s="50" t="s">
        <v>141</v>
      </c>
      <c r="L72" s="32" t="s">
        <v>141</v>
      </c>
      <c r="M72" s="32" t="s">
        <v>141</v>
      </c>
      <c r="N72" s="32"/>
      <c r="O72" s="32"/>
    </row>
    <row r="73" spans="2:15" x14ac:dyDescent="0.25">
      <c r="B73" s="48">
        <v>7</v>
      </c>
      <c r="C73" s="48">
        <f t="shared" si="14"/>
        <v>11</v>
      </c>
      <c r="D73" s="50">
        <f t="shared" si="15"/>
        <v>4</v>
      </c>
      <c r="E73" s="50">
        <f>+$N$59*N73</f>
        <v>0.7</v>
      </c>
      <c r="F73" s="50">
        <f>+$N$59*O73</f>
        <v>0.7</v>
      </c>
      <c r="L73" s="50">
        <f>+B73-$C$63</f>
        <v>0</v>
      </c>
      <c r="M73" s="50">
        <f>+B73-$C$64</f>
        <v>0</v>
      </c>
      <c r="N73" s="50">
        <f>+($N$60+$N$61*(B73-$C$63))</f>
        <v>2</v>
      </c>
      <c r="O73" s="50">
        <f>+($N$60+$N$61*(B73-$C$64))</f>
        <v>2</v>
      </c>
    </row>
    <row r="74" spans="2:15" x14ac:dyDescent="0.25">
      <c r="B74" s="50">
        <v>8</v>
      </c>
      <c r="C74" s="50">
        <f t="shared" si="14"/>
        <v>10</v>
      </c>
      <c r="D74" s="49">
        <f t="shared" si="15"/>
        <v>2</v>
      </c>
      <c r="E74" s="50">
        <f t="shared" ref="E74:E83" si="16">+$N$59*N74</f>
        <v>1.7150000000000001</v>
      </c>
      <c r="F74" s="49">
        <f>+$N$59*O74</f>
        <v>1.7150000000000001</v>
      </c>
      <c r="L74" s="50">
        <f t="shared" ref="L74:L83" si="17">+B74-$C$63</f>
        <v>1</v>
      </c>
      <c r="M74" s="49">
        <f>+B74-$C$64</f>
        <v>1</v>
      </c>
      <c r="N74" s="50">
        <f t="shared" ref="N74:N83" si="18">+($N$60+$N$61*(B74-$C$63))</f>
        <v>4.9000000000000004</v>
      </c>
      <c r="O74" s="49">
        <f>+($N$60+$N$61*(B74-$C$64))</f>
        <v>4.9000000000000004</v>
      </c>
    </row>
    <row r="75" spans="2:15" x14ac:dyDescent="0.25">
      <c r="B75" s="50">
        <v>9</v>
      </c>
      <c r="C75" s="50">
        <f t="shared" si="14"/>
        <v>9</v>
      </c>
      <c r="D75" s="50" t="s">
        <v>141</v>
      </c>
      <c r="E75" s="50">
        <f t="shared" si="16"/>
        <v>2.73</v>
      </c>
      <c r="F75" s="50"/>
      <c r="L75" s="50">
        <f t="shared" si="17"/>
        <v>2</v>
      </c>
      <c r="M75" s="50" t="s">
        <v>141</v>
      </c>
      <c r="N75" s="50">
        <f t="shared" si="18"/>
        <v>7.8</v>
      </c>
      <c r="O75" s="50" t="s">
        <v>141</v>
      </c>
    </row>
    <row r="76" spans="2:15" x14ac:dyDescent="0.25">
      <c r="B76" s="50">
        <v>10</v>
      </c>
      <c r="C76" s="50">
        <f t="shared" si="14"/>
        <v>8</v>
      </c>
      <c r="D76" s="50"/>
      <c r="E76" s="50">
        <f t="shared" si="16"/>
        <v>3.7449999999999997</v>
      </c>
      <c r="F76" s="50"/>
      <c r="L76" s="50">
        <f t="shared" si="17"/>
        <v>3</v>
      </c>
      <c r="M76" s="50" t="s">
        <v>141</v>
      </c>
      <c r="N76" s="50">
        <f t="shared" si="18"/>
        <v>10.7</v>
      </c>
      <c r="O76" s="50"/>
    </row>
    <row r="77" spans="2:15" x14ac:dyDescent="0.25">
      <c r="B77" s="32">
        <v>11</v>
      </c>
      <c r="C77" s="32">
        <f t="shared" si="14"/>
        <v>7</v>
      </c>
      <c r="D77" s="32"/>
      <c r="E77" s="50">
        <f t="shared" si="16"/>
        <v>4.76</v>
      </c>
      <c r="F77" s="32"/>
      <c r="L77" s="50">
        <f t="shared" si="17"/>
        <v>4</v>
      </c>
      <c r="M77" s="32" t="s">
        <v>141</v>
      </c>
      <c r="N77" s="50">
        <f t="shared" si="18"/>
        <v>13.6</v>
      </c>
      <c r="O77" s="32"/>
    </row>
    <row r="78" spans="2:15" x14ac:dyDescent="0.25">
      <c r="B78" s="32">
        <v>12</v>
      </c>
      <c r="C78" s="32">
        <f t="shared" si="14"/>
        <v>6</v>
      </c>
      <c r="D78" s="32"/>
      <c r="E78" s="50">
        <f t="shared" si="16"/>
        <v>5.7749999999999995</v>
      </c>
      <c r="F78" s="32"/>
      <c r="L78" s="48">
        <f t="shared" si="17"/>
        <v>5</v>
      </c>
      <c r="M78" s="32" t="s">
        <v>141</v>
      </c>
      <c r="N78" s="48">
        <f t="shared" si="18"/>
        <v>16.5</v>
      </c>
      <c r="O78" s="32"/>
    </row>
    <row r="79" spans="2:15" x14ac:dyDescent="0.25">
      <c r="B79" s="32">
        <v>13</v>
      </c>
      <c r="C79" s="32">
        <f t="shared" si="14"/>
        <v>5</v>
      </c>
      <c r="D79" s="32"/>
      <c r="E79" s="50">
        <f t="shared" si="16"/>
        <v>6.7899999999999991</v>
      </c>
      <c r="F79" s="32"/>
      <c r="L79" s="50">
        <f t="shared" si="17"/>
        <v>6</v>
      </c>
      <c r="M79" s="32" t="s">
        <v>141</v>
      </c>
      <c r="N79" s="50">
        <f t="shared" si="18"/>
        <v>19.399999999999999</v>
      </c>
      <c r="O79" s="32"/>
    </row>
    <row r="80" spans="2:15" x14ac:dyDescent="0.25">
      <c r="B80" s="32">
        <v>14</v>
      </c>
      <c r="C80" s="32">
        <f t="shared" si="14"/>
        <v>4</v>
      </c>
      <c r="D80" s="32"/>
      <c r="E80" s="50">
        <f t="shared" si="16"/>
        <v>7.8049999999999997</v>
      </c>
      <c r="F80" s="32"/>
      <c r="L80" s="50">
        <f t="shared" si="17"/>
        <v>7</v>
      </c>
      <c r="M80" s="32" t="s">
        <v>141</v>
      </c>
      <c r="N80" s="50">
        <f t="shared" si="18"/>
        <v>22.3</v>
      </c>
      <c r="O80" s="32"/>
    </row>
    <row r="81" spans="1:15" x14ac:dyDescent="0.25">
      <c r="B81" s="32">
        <v>15</v>
      </c>
      <c r="C81" s="32">
        <f t="shared" si="14"/>
        <v>3</v>
      </c>
      <c r="D81" s="32"/>
      <c r="E81" s="50">
        <f t="shared" si="16"/>
        <v>8.8199999999999985</v>
      </c>
      <c r="F81" s="32"/>
      <c r="L81" s="50">
        <f t="shared" si="17"/>
        <v>8</v>
      </c>
      <c r="M81" s="32" t="s">
        <v>141</v>
      </c>
      <c r="N81" s="50">
        <f t="shared" si="18"/>
        <v>25.2</v>
      </c>
      <c r="O81" s="32"/>
    </row>
    <row r="82" spans="1:15" x14ac:dyDescent="0.25">
      <c r="B82" s="32">
        <v>16</v>
      </c>
      <c r="C82" s="32">
        <f t="shared" si="14"/>
        <v>2</v>
      </c>
      <c r="D82" s="32"/>
      <c r="E82" s="50">
        <f t="shared" si="16"/>
        <v>9.8349999999999991</v>
      </c>
      <c r="F82" s="32"/>
      <c r="L82" s="50">
        <f t="shared" si="17"/>
        <v>9</v>
      </c>
      <c r="M82" s="32" t="s">
        <v>142</v>
      </c>
      <c r="N82" s="50">
        <f t="shared" si="18"/>
        <v>28.099999999999998</v>
      </c>
      <c r="O82" s="32"/>
    </row>
    <row r="83" spans="1:15" x14ac:dyDescent="0.25">
      <c r="B83" s="32">
        <v>17</v>
      </c>
      <c r="C83" s="32">
        <f t="shared" si="14"/>
        <v>1</v>
      </c>
      <c r="D83" s="32"/>
      <c r="E83" s="50">
        <f t="shared" si="16"/>
        <v>10.85</v>
      </c>
      <c r="F83" s="32"/>
      <c r="L83" s="50">
        <f t="shared" si="17"/>
        <v>10</v>
      </c>
      <c r="M83" s="32" t="s">
        <v>141</v>
      </c>
      <c r="N83" s="50">
        <f t="shared" si="18"/>
        <v>31</v>
      </c>
      <c r="O83" s="32"/>
    </row>
    <row r="86" spans="1:15" x14ac:dyDescent="0.25">
      <c r="A86" s="1" t="s">
        <v>145</v>
      </c>
      <c r="B86" s="1"/>
      <c r="C86" s="1"/>
      <c r="D86" s="1"/>
    </row>
    <row r="87" spans="1:15" x14ac:dyDescent="0.25">
      <c r="B87" t="s">
        <v>124</v>
      </c>
      <c r="C87" s="32">
        <v>18</v>
      </c>
      <c r="M87" t="s">
        <v>125</v>
      </c>
      <c r="N87" s="32">
        <v>0.7</v>
      </c>
    </row>
    <row r="88" spans="1:15" x14ac:dyDescent="0.25">
      <c r="B88" t="s">
        <v>126</v>
      </c>
      <c r="C88" s="32">
        <v>1</v>
      </c>
      <c r="M88" t="s">
        <v>127</v>
      </c>
      <c r="N88" s="32">
        <v>17.5</v>
      </c>
    </row>
    <row r="89" spans="1:15" x14ac:dyDescent="0.25">
      <c r="B89" t="s">
        <v>128</v>
      </c>
      <c r="C89" s="32">
        <v>18</v>
      </c>
      <c r="M89" t="s">
        <v>129</v>
      </c>
      <c r="N89" s="32">
        <v>1.43</v>
      </c>
    </row>
    <row r="90" spans="1:15" x14ac:dyDescent="0.25">
      <c r="B90" t="s">
        <v>130</v>
      </c>
      <c r="C90" s="32">
        <v>2</v>
      </c>
    </row>
    <row r="91" spans="1:15" x14ac:dyDescent="0.25">
      <c r="B91" t="s">
        <v>131</v>
      </c>
      <c r="C91" s="32">
        <v>7</v>
      </c>
    </row>
    <row r="92" spans="1:15" x14ac:dyDescent="0.25">
      <c r="B92" t="s">
        <v>132</v>
      </c>
      <c r="C92" s="32">
        <v>7</v>
      </c>
    </row>
    <row r="94" spans="1:15" x14ac:dyDescent="0.25">
      <c r="B94" s="32" t="s">
        <v>19</v>
      </c>
      <c r="C94" s="32" t="s">
        <v>133</v>
      </c>
      <c r="D94" s="32" t="s">
        <v>134</v>
      </c>
      <c r="E94" s="32" t="s">
        <v>135</v>
      </c>
      <c r="F94" s="32" t="s">
        <v>136</v>
      </c>
      <c r="G94" s="32"/>
      <c r="H94" s="32"/>
      <c r="I94" s="32"/>
      <c r="J94" s="32"/>
      <c r="K94" s="32"/>
      <c r="L94" s="32" t="s">
        <v>137</v>
      </c>
      <c r="M94" s="32" t="s">
        <v>138</v>
      </c>
      <c r="N94" s="32" t="s">
        <v>139</v>
      </c>
      <c r="O94" s="32" t="s">
        <v>140</v>
      </c>
    </row>
    <row r="95" spans="1:15" x14ac:dyDescent="0.25">
      <c r="B95" s="32">
        <v>1</v>
      </c>
      <c r="C95" s="32">
        <f>+$C$3-$C$4*B95</f>
        <v>17</v>
      </c>
      <c r="D95" s="32">
        <f>+$C$5-$C$6*B95</f>
        <v>16</v>
      </c>
      <c r="E95" s="32"/>
      <c r="F95" s="32"/>
    </row>
    <row r="96" spans="1:15" x14ac:dyDescent="0.25">
      <c r="B96" s="32">
        <v>2</v>
      </c>
      <c r="C96" s="32">
        <f t="shared" ref="C96:C111" si="19">+$C$3-$C$4*B96</f>
        <v>16</v>
      </c>
      <c r="D96" s="32">
        <f t="shared" ref="D96:D102" si="20">+$C$5-$C$6*B96</f>
        <v>14</v>
      </c>
      <c r="E96" s="32"/>
      <c r="F96" s="32"/>
      <c r="L96" s="32"/>
      <c r="M96" s="32"/>
      <c r="N96" s="32"/>
      <c r="O96" s="32"/>
    </row>
    <row r="97" spans="1:15" x14ac:dyDescent="0.25">
      <c r="B97" s="50">
        <v>3</v>
      </c>
      <c r="C97" s="50">
        <f t="shared" si="19"/>
        <v>15</v>
      </c>
      <c r="D97" s="50">
        <f t="shared" si="20"/>
        <v>12</v>
      </c>
      <c r="E97" s="50" t="s">
        <v>141</v>
      </c>
      <c r="F97" s="50"/>
      <c r="L97" s="32" t="s">
        <v>141</v>
      </c>
      <c r="M97" s="32"/>
      <c r="N97" s="32"/>
      <c r="O97" s="32"/>
    </row>
    <row r="98" spans="1:15" x14ac:dyDescent="0.25">
      <c r="B98" s="50">
        <v>4</v>
      </c>
      <c r="C98" s="50">
        <f t="shared" si="19"/>
        <v>14</v>
      </c>
      <c r="D98" s="50">
        <f t="shared" si="20"/>
        <v>10</v>
      </c>
      <c r="E98" s="50" t="s">
        <v>141</v>
      </c>
      <c r="F98" s="50" t="s">
        <v>141</v>
      </c>
      <c r="L98" s="32" t="s">
        <v>141</v>
      </c>
      <c r="M98" s="32" t="s">
        <v>141</v>
      </c>
      <c r="N98" s="32"/>
      <c r="O98" s="32"/>
    </row>
    <row r="99" spans="1:15" x14ac:dyDescent="0.25">
      <c r="B99" s="50">
        <v>5</v>
      </c>
      <c r="C99" s="50">
        <f t="shared" si="19"/>
        <v>13</v>
      </c>
      <c r="D99" s="50">
        <f t="shared" si="20"/>
        <v>8</v>
      </c>
      <c r="E99" s="50" t="s">
        <v>141</v>
      </c>
      <c r="F99" s="50" t="s">
        <v>141</v>
      </c>
      <c r="L99" s="32" t="s">
        <v>141</v>
      </c>
      <c r="M99" s="32" t="s">
        <v>141</v>
      </c>
      <c r="N99" s="32"/>
      <c r="O99" s="32"/>
    </row>
    <row r="100" spans="1:15" x14ac:dyDescent="0.25">
      <c r="B100" s="50">
        <v>6</v>
      </c>
      <c r="C100" s="50">
        <f t="shared" si="19"/>
        <v>12</v>
      </c>
      <c r="D100" s="50">
        <f t="shared" si="20"/>
        <v>6</v>
      </c>
      <c r="E100" s="50" t="s">
        <v>141</v>
      </c>
      <c r="F100" s="50" t="s">
        <v>141</v>
      </c>
      <c r="L100" s="32" t="s">
        <v>141</v>
      </c>
      <c r="M100" s="32" t="s">
        <v>141</v>
      </c>
      <c r="N100" s="32"/>
      <c r="O100" s="32"/>
    </row>
    <row r="101" spans="1:15" x14ac:dyDescent="0.25">
      <c r="A101" s="51"/>
      <c r="B101" s="49">
        <v>7</v>
      </c>
      <c r="C101" s="49">
        <f t="shared" si="19"/>
        <v>11</v>
      </c>
      <c r="D101" s="49">
        <f t="shared" si="20"/>
        <v>4</v>
      </c>
      <c r="E101" s="49">
        <f>+$N$87*N101</f>
        <v>12.25</v>
      </c>
      <c r="F101" s="49">
        <f>+$N$87*O101</f>
        <v>12.25</v>
      </c>
      <c r="G101" s="51"/>
      <c r="H101" s="51"/>
      <c r="I101" s="51"/>
      <c r="J101" s="51"/>
      <c r="K101" s="51"/>
      <c r="L101" s="49">
        <f>+B101-$C$63</f>
        <v>0</v>
      </c>
      <c r="M101" s="49">
        <f>+B101-$C$64</f>
        <v>0</v>
      </c>
      <c r="N101" s="49">
        <f>+($N$88+$N$89*(B101-$C$63))</f>
        <v>17.5</v>
      </c>
      <c r="O101" s="49">
        <f>+($N$88+$N$89*(B101-$C$64))</f>
        <v>17.5</v>
      </c>
    </row>
    <row r="102" spans="1:15" x14ac:dyDescent="0.25">
      <c r="B102" s="50">
        <v>8</v>
      </c>
      <c r="C102" s="50">
        <f t="shared" si="19"/>
        <v>10</v>
      </c>
      <c r="D102" s="50">
        <f t="shared" si="20"/>
        <v>2</v>
      </c>
      <c r="E102" s="50">
        <f t="shared" ref="E102:E111" si="21">+$N$87*N102</f>
        <v>13.250999999999999</v>
      </c>
      <c r="F102" s="50">
        <f>+$N$87*O102</f>
        <v>13.250999999999999</v>
      </c>
      <c r="G102" s="52"/>
      <c r="H102" s="52"/>
      <c r="I102" s="52"/>
      <c r="J102" s="52"/>
      <c r="K102" s="52"/>
      <c r="L102" s="50">
        <f t="shared" ref="L102:L111" si="22">+B102-$C$63</f>
        <v>1</v>
      </c>
      <c r="M102" s="50">
        <f>+B102-$C$64</f>
        <v>1</v>
      </c>
      <c r="N102" s="50">
        <f t="shared" ref="N102:N111" si="23">+($N$88+$N$89*(B102-$C$63))</f>
        <v>18.93</v>
      </c>
      <c r="O102" s="50">
        <f>+($N$88+$N$89*(B102-$C$64))</f>
        <v>18.93</v>
      </c>
    </row>
    <row r="103" spans="1:15" x14ac:dyDescent="0.25">
      <c r="B103" s="50">
        <v>9</v>
      </c>
      <c r="C103" s="50">
        <f t="shared" si="19"/>
        <v>9</v>
      </c>
      <c r="D103" s="50" t="s">
        <v>141</v>
      </c>
      <c r="E103" s="50">
        <f t="shared" si="21"/>
        <v>14.251999999999999</v>
      </c>
      <c r="F103" s="50"/>
      <c r="G103" s="52"/>
      <c r="H103" s="52"/>
      <c r="I103" s="52"/>
      <c r="J103" s="52"/>
      <c r="K103" s="52"/>
      <c r="L103" s="50">
        <f t="shared" si="22"/>
        <v>2</v>
      </c>
      <c r="M103" s="50" t="s">
        <v>141</v>
      </c>
      <c r="N103" s="50">
        <f t="shared" si="23"/>
        <v>20.36</v>
      </c>
      <c r="O103" s="50" t="s">
        <v>141</v>
      </c>
    </row>
    <row r="104" spans="1:15" x14ac:dyDescent="0.25">
      <c r="B104" s="50">
        <v>10</v>
      </c>
      <c r="C104" s="50">
        <f t="shared" si="19"/>
        <v>8</v>
      </c>
      <c r="D104" s="50"/>
      <c r="E104" s="50">
        <f t="shared" si="21"/>
        <v>15.252999999999998</v>
      </c>
      <c r="F104" s="50"/>
      <c r="G104" s="52"/>
      <c r="H104" s="52"/>
      <c r="I104" s="52"/>
      <c r="J104" s="52"/>
      <c r="K104" s="52"/>
      <c r="L104" s="50">
        <f t="shared" si="22"/>
        <v>3</v>
      </c>
      <c r="M104" s="50" t="s">
        <v>141</v>
      </c>
      <c r="N104" s="50">
        <f t="shared" si="23"/>
        <v>21.79</v>
      </c>
      <c r="O104" s="50"/>
    </row>
    <row r="105" spans="1:15" x14ac:dyDescent="0.25">
      <c r="B105" s="50">
        <v>11</v>
      </c>
      <c r="C105" s="50">
        <f t="shared" si="19"/>
        <v>7</v>
      </c>
      <c r="D105" s="50"/>
      <c r="E105" s="50">
        <f t="shared" si="21"/>
        <v>16.253999999999998</v>
      </c>
      <c r="F105" s="50"/>
      <c r="G105" s="52"/>
      <c r="H105" s="52"/>
      <c r="I105" s="52"/>
      <c r="J105" s="52"/>
      <c r="K105" s="52"/>
      <c r="L105" s="50">
        <f t="shared" si="22"/>
        <v>4</v>
      </c>
      <c r="M105" s="50" t="s">
        <v>141</v>
      </c>
      <c r="N105" s="50">
        <f t="shared" si="23"/>
        <v>23.22</v>
      </c>
      <c r="O105" s="50"/>
    </row>
    <row r="106" spans="1:15" x14ac:dyDescent="0.25">
      <c r="B106" s="50">
        <v>12</v>
      </c>
      <c r="C106" s="50">
        <f t="shared" si="19"/>
        <v>6</v>
      </c>
      <c r="D106" s="50"/>
      <c r="E106" s="50">
        <f t="shared" si="21"/>
        <v>17.254999999999999</v>
      </c>
      <c r="F106" s="50"/>
      <c r="G106" s="52"/>
      <c r="H106" s="52"/>
      <c r="I106" s="52"/>
      <c r="J106" s="52"/>
      <c r="K106" s="52"/>
      <c r="L106" s="50">
        <f t="shared" si="22"/>
        <v>5</v>
      </c>
      <c r="M106" s="50" t="s">
        <v>141</v>
      </c>
      <c r="N106" s="50">
        <f t="shared" si="23"/>
        <v>24.65</v>
      </c>
      <c r="O106" s="50"/>
    </row>
    <row r="107" spans="1:15" x14ac:dyDescent="0.25">
      <c r="B107" s="32">
        <v>13</v>
      </c>
      <c r="C107" s="32">
        <f t="shared" si="19"/>
        <v>5</v>
      </c>
      <c r="D107" s="32"/>
      <c r="E107" s="50">
        <f t="shared" si="21"/>
        <v>18.255999999999997</v>
      </c>
      <c r="F107" s="32"/>
      <c r="L107" s="50">
        <f t="shared" si="22"/>
        <v>6</v>
      </c>
      <c r="M107" s="32" t="s">
        <v>141</v>
      </c>
      <c r="N107" s="50">
        <f t="shared" si="23"/>
        <v>26.08</v>
      </c>
      <c r="O107" s="32"/>
    </row>
    <row r="108" spans="1:15" x14ac:dyDescent="0.25">
      <c r="B108" s="32">
        <v>14</v>
      </c>
      <c r="C108" s="32">
        <f t="shared" si="19"/>
        <v>4</v>
      </c>
      <c r="D108" s="32"/>
      <c r="E108" s="50">
        <f t="shared" si="21"/>
        <v>19.256999999999998</v>
      </c>
      <c r="F108" s="32"/>
      <c r="L108" s="50">
        <f t="shared" si="22"/>
        <v>7</v>
      </c>
      <c r="M108" s="32" t="s">
        <v>141</v>
      </c>
      <c r="N108" s="50">
        <f t="shared" si="23"/>
        <v>27.509999999999998</v>
      </c>
      <c r="O108" s="32"/>
    </row>
    <row r="109" spans="1:15" x14ac:dyDescent="0.25">
      <c r="B109" s="32">
        <v>15</v>
      </c>
      <c r="C109" s="32">
        <f t="shared" si="19"/>
        <v>3</v>
      </c>
      <c r="D109" s="32"/>
      <c r="E109" s="50">
        <f t="shared" si="21"/>
        <v>20.257999999999996</v>
      </c>
      <c r="F109" s="32"/>
      <c r="L109" s="50">
        <f t="shared" si="22"/>
        <v>8</v>
      </c>
      <c r="M109" s="32" t="s">
        <v>141</v>
      </c>
      <c r="N109" s="50">
        <f t="shared" si="23"/>
        <v>28.939999999999998</v>
      </c>
      <c r="O109" s="32"/>
    </row>
    <row r="110" spans="1:15" x14ac:dyDescent="0.25">
      <c r="B110" s="32">
        <v>16</v>
      </c>
      <c r="C110" s="32">
        <f t="shared" si="19"/>
        <v>2</v>
      </c>
      <c r="D110" s="32"/>
      <c r="E110" s="50">
        <f t="shared" si="21"/>
        <v>21.258999999999997</v>
      </c>
      <c r="F110" s="32"/>
      <c r="L110" s="50">
        <f t="shared" si="22"/>
        <v>9</v>
      </c>
      <c r="M110" s="32" t="s">
        <v>142</v>
      </c>
      <c r="N110" s="50">
        <f t="shared" si="23"/>
        <v>30.369999999999997</v>
      </c>
      <c r="O110" s="32"/>
    </row>
    <row r="111" spans="1:15" x14ac:dyDescent="0.25">
      <c r="B111" s="32">
        <v>17</v>
      </c>
      <c r="C111" s="32">
        <f t="shared" si="19"/>
        <v>1</v>
      </c>
      <c r="D111" s="32"/>
      <c r="E111" s="50">
        <f t="shared" si="21"/>
        <v>22.259999999999998</v>
      </c>
      <c r="F111" s="32"/>
      <c r="L111" s="50">
        <f t="shared" si="22"/>
        <v>10</v>
      </c>
      <c r="M111" s="32" t="s">
        <v>141</v>
      </c>
      <c r="N111" s="50">
        <f t="shared" si="23"/>
        <v>31.799999999999997</v>
      </c>
      <c r="O111" s="3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(1) TDP-f'crec-CUMPL</vt:lpstr>
      <vt:lpstr>Treatments</vt:lpstr>
      <vt:lpstr>2) TDP-f'const-CUMPL</vt:lpstr>
      <vt:lpstr>3) TDP-f'crec-VIOL</vt:lpstr>
      <vt:lpstr>4) TDP-f'const-VIOL</vt:lpstr>
      <vt:lpstr>Cálculos multa esperada margina</vt:lpstr>
      <vt:lpstr>STD-f'creciente-VIOL</vt:lpstr>
      <vt:lpstr>5) STD-f'creciente-CUMPL</vt:lpstr>
      <vt:lpstr>6) STD-f'const-CUMPL</vt:lpstr>
      <vt:lpstr>7) STD-f'creciente-VIOL</vt:lpstr>
      <vt:lpstr>8) STD-f'const-VIOL</vt:lpstr>
      <vt:lpstr>9) </vt:lpstr>
      <vt:lpstr>10)</vt:lpstr>
      <vt:lpstr>TDP-f'crec-CUMPL (2)</vt:lpstr>
      <vt:lpstr>Hoja1</vt:lpstr>
    </vt:vector>
  </TitlesOfParts>
  <Company>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caffera</dc:creator>
  <cp:lastModifiedBy>UDM</cp:lastModifiedBy>
  <cp:lastPrinted>2011-07-06T15:59:03Z</cp:lastPrinted>
  <dcterms:created xsi:type="dcterms:W3CDTF">2011-03-15T17:42:28Z</dcterms:created>
  <dcterms:modified xsi:type="dcterms:W3CDTF">2011-08-02T17:38:12Z</dcterms:modified>
</cp:coreProperties>
</file>